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5180" yWindow="65116" windowWidth="22720" windowHeight="21560" tabRatio="736" firstSheet="2" activeTab="7"/>
  </bookViews>
  <sheets>
    <sheet name="Exam 1 DG" sheetId="1" r:id="rId1"/>
    <sheet name="Exam 1 actual" sheetId="2" r:id="rId2"/>
    <sheet name="Exam 2 DG" sheetId="3" r:id="rId3"/>
    <sheet name="Exam 2 actual" sheetId="4" r:id="rId4"/>
    <sheet name="Exam 3 actual" sheetId="5" r:id="rId5"/>
    <sheet name="Exam 4 actual" sheetId="6" r:id="rId6"/>
    <sheet name="Exam 5 actual" sheetId="7" r:id="rId7"/>
    <sheet name="Final Exam" sheetId="8" r:id="rId8"/>
    <sheet name="Sheet2" sheetId="9" r:id="rId9"/>
  </sheets>
  <definedNames/>
  <calcPr fullCalcOnLoad="1"/>
</workbook>
</file>

<file path=xl/sharedStrings.xml><?xml version="1.0" encoding="utf-8"?>
<sst xmlns="http://schemas.openxmlformats.org/spreadsheetml/2006/main" count="902" uniqueCount="451">
  <si>
    <t>Interpretation of sum</t>
  </si>
  <si>
    <t>N</t>
  </si>
  <si>
    <r>
      <t>n</t>
    </r>
    <r>
      <rPr>
        <vertAlign val="subscript"/>
        <sz val="11"/>
        <rFont val="Verdana"/>
        <family val="0"/>
      </rPr>
      <t>j</t>
    </r>
  </si>
  <si>
    <r>
      <t>T</t>
    </r>
    <r>
      <rPr>
        <vertAlign val="subscript"/>
        <sz val="11"/>
        <rFont val="Verdana"/>
        <family val="0"/>
      </rPr>
      <t>j</t>
    </r>
  </si>
  <si>
    <r>
      <t>T</t>
    </r>
    <r>
      <rPr>
        <vertAlign val="subscript"/>
        <sz val="11"/>
        <rFont val="Verdana"/>
        <family val="0"/>
      </rPr>
      <t>j</t>
    </r>
    <r>
      <rPr>
        <vertAlign val="superscript"/>
        <sz val="11"/>
        <rFont val="Verdana"/>
        <family val="0"/>
      </rPr>
      <t>2</t>
    </r>
    <r>
      <rPr>
        <sz val="10"/>
        <rFont val="Verdana"/>
        <family val="0"/>
      </rPr>
      <t>/n</t>
    </r>
    <r>
      <rPr>
        <vertAlign val="subscript"/>
        <sz val="11"/>
        <rFont val="Verdana"/>
        <family val="0"/>
      </rPr>
      <t>j</t>
    </r>
  </si>
  <si>
    <r>
      <t>SS</t>
    </r>
    <r>
      <rPr>
        <vertAlign val="subscript"/>
        <sz val="11"/>
        <rFont val="Verdana"/>
        <family val="0"/>
      </rPr>
      <t>j</t>
    </r>
  </si>
  <si>
    <r>
      <t>df</t>
    </r>
    <r>
      <rPr>
        <vertAlign val="subscript"/>
        <sz val="11"/>
        <rFont val="Verdana"/>
        <family val="0"/>
      </rPr>
      <t>j</t>
    </r>
  </si>
  <si>
    <r>
      <t>est</t>
    </r>
    <r>
      <rPr>
        <vertAlign val="subscript"/>
        <sz val="11"/>
        <rFont val="Verdana"/>
        <family val="0"/>
      </rPr>
      <t>j</t>
    </r>
    <r>
      <rPr>
        <sz val="10"/>
        <rFont val="Symbol"/>
        <family val="0"/>
      </rPr>
      <t>s</t>
    </r>
    <r>
      <rPr>
        <vertAlign val="superscript"/>
        <sz val="11"/>
        <rFont val="Verdana"/>
        <family val="0"/>
      </rPr>
      <t>2</t>
    </r>
  </si>
  <si>
    <r>
      <t>S</t>
    </r>
    <r>
      <rPr>
        <sz val="10"/>
        <rFont val="Verdana"/>
        <family val="0"/>
      </rPr>
      <t>x</t>
    </r>
    <r>
      <rPr>
        <vertAlign val="subscript"/>
        <sz val="11"/>
        <rFont val="Verdana"/>
        <family val="0"/>
      </rPr>
      <t>ij</t>
    </r>
    <r>
      <rPr>
        <vertAlign val="superscript"/>
        <sz val="11"/>
        <rFont val="Verdana"/>
        <family val="0"/>
      </rPr>
      <t>2</t>
    </r>
  </si>
  <si>
    <r>
      <t>M</t>
    </r>
    <r>
      <rPr>
        <vertAlign val="subscript"/>
        <sz val="10"/>
        <color indexed="8"/>
        <rFont val="Verdana"/>
        <family val="0"/>
      </rPr>
      <t>j</t>
    </r>
  </si>
  <si>
    <t>Control</t>
  </si>
  <si>
    <t>Version 1</t>
  </si>
  <si>
    <t>Version 2</t>
  </si>
  <si>
    <t>Version 3</t>
  </si>
  <si>
    <r>
      <t>est</t>
    </r>
    <r>
      <rPr>
        <vertAlign val="subscript"/>
        <sz val="11"/>
        <rFont val="Verdana"/>
        <family val="0"/>
      </rPr>
      <t>j</t>
    </r>
    <r>
      <rPr>
        <sz val="10"/>
        <rFont val="Symbol"/>
        <family val="0"/>
      </rPr>
      <t>s</t>
    </r>
  </si>
  <si>
    <t>T</t>
  </si>
  <si>
    <t>SSW</t>
  </si>
  <si>
    <t>dfW</t>
  </si>
  <si>
    <t>N/A</t>
  </si>
  <si>
    <r>
      <t>SS</t>
    </r>
    <r>
      <rPr>
        <sz val="10"/>
        <rFont val="Verdana"/>
        <family val="0"/>
      </rPr>
      <t>x</t>
    </r>
    <r>
      <rPr>
        <vertAlign val="subscript"/>
        <sz val="11"/>
        <rFont val="Verdana"/>
        <family val="0"/>
      </rPr>
      <t>ij</t>
    </r>
    <r>
      <rPr>
        <vertAlign val="superscript"/>
        <sz val="11"/>
        <rFont val="Verdana"/>
        <family val="0"/>
      </rPr>
      <t>2</t>
    </r>
  </si>
  <si>
    <t>ANOVA</t>
  </si>
  <si>
    <t>Source</t>
  </si>
  <si>
    <t>df</t>
  </si>
  <si>
    <t>F</t>
  </si>
  <si>
    <t>Crit F</t>
  </si>
  <si>
    <t>Decision</t>
  </si>
  <si>
    <t>b</t>
  </si>
  <si>
    <t>M</t>
  </si>
  <si>
    <t>% conf</t>
  </si>
  <si>
    <t>crit t</t>
  </si>
  <si>
    <t>Lower Limit</t>
  </si>
  <si>
    <t>Upper limit</t>
  </si>
  <si>
    <r>
      <t>est</t>
    </r>
    <r>
      <rPr>
        <sz val="10"/>
        <rFont val="Symbol"/>
        <family val="0"/>
      </rPr>
      <t>s</t>
    </r>
    <r>
      <rPr>
        <vertAlign val="superscript"/>
        <sz val="11"/>
        <rFont val="Verdana"/>
        <family val="0"/>
      </rPr>
      <t>2</t>
    </r>
  </si>
  <si>
    <r>
      <t>est</t>
    </r>
    <r>
      <rPr>
        <sz val="10"/>
        <rFont val="Symbol"/>
        <family val="0"/>
      </rPr>
      <t>s</t>
    </r>
    <r>
      <rPr>
        <vertAlign val="subscript"/>
        <sz val="10"/>
        <rFont val="Symbol"/>
        <family val="0"/>
      </rPr>
      <t>M</t>
    </r>
  </si>
  <si>
    <t>d</t>
  </si>
  <si>
    <r>
      <t>S</t>
    </r>
    <r>
      <rPr>
        <sz val="10"/>
        <rFont val="Verdana"/>
        <family val="0"/>
      </rPr>
      <t>X</t>
    </r>
    <r>
      <rPr>
        <vertAlign val="superscript"/>
        <sz val="10"/>
        <rFont val="Verdana"/>
        <family val="0"/>
      </rPr>
      <t>2</t>
    </r>
    <r>
      <rPr>
        <sz val="10"/>
        <rFont val="Verdana"/>
        <family val="0"/>
      </rPr>
      <t xml:space="preserve">= </t>
    </r>
  </si>
  <si>
    <r>
      <t>S</t>
    </r>
    <r>
      <rPr>
        <sz val="10"/>
        <rFont val="Verdana"/>
        <family val="0"/>
      </rPr>
      <t>Y</t>
    </r>
    <r>
      <rPr>
        <vertAlign val="superscript"/>
        <sz val="10"/>
        <rFont val="Verdana"/>
        <family val="0"/>
      </rPr>
      <t>2</t>
    </r>
    <r>
      <rPr>
        <sz val="10"/>
        <rFont val="Verdana"/>
        <family val="0"/>
      </rPr>
      <t xml:space="preserve">= </t>
    </r>
  </si>
  <si>
    <r>
      <t>S</t>
    </r>
    <r>
      <rPr>
        <sz val="10"/>
        <rFont val="Verdana"/>
        <family val="0"/>
      </rPr>
      <t xml:space="preserve">XY= </t>
    </r>
  </si>
  <si>
    <t xml:space="preserve">slope = b = </t>
  </si>
  <si>
    <t xml:space="preserve">intercept = a = </t>
  </si>
  <si>
    <t>Y'</t>
  </si>
  <si>
    <t>(Y-Y')</t>
  </si>
  <si>
    <t>Confidence interval around...</t>
  </si>
  <si>
    <t>In table</t>
  </si>
  <si>
    <r>
      <t>(M</t>
    </r>
    <r>
      <rPr>
        <vertAlign val="subscript"/>
        <sz val="11"/>
        <rFont val="Verdana"/>
        <family val="0"/>
      </rPr>
      <t>1</t>
    </r>
    <r>
      <rPr>
        <sz val="11"/>
        <rFont val="Verdana"/>
        <family val="0"/>
      </rPr>
      <t>-M</t>
    </r>
    <r>
      <rPr>
        <vertAlign val="subscript"/>
        <sz val="11"/>
        <rFont val="Verdana"/>
        <family val="0"/>
      </rPr>
      <t>4</t>
    </r>
    <r>
      <rPr>
        <sz val="11"/>
        <rFont val="Verdana"/>
        <family val="0"/>
      </rPr>
      <t xml:space="preserve">) = </t>
    </r>
  </si>
  <si>
    <r>
      <t>est</t>
    </r>
    <r>
      <rPr>
        <sz val="10"/>
        <rFont val="Symbol"/>
        <family val="0"/>
      </rPr>
      <t>s</t>
    </r>
    <r>
      <rPr>
        <vertAlign val="subscript"/>
        <sz val="11"/>
        <rFont val="Verdana"/>
        <family val="0"/>
      </rPr>
      <t>M1-M4</t>
    </r>
    <r>
      <rPr>
        <sz val="11"/>
        <rFont val="Verdana"/>
        <family val="0"/>
      </rPr>
      <t xml:space="preserve"> = </t>
    </r>
  </si>
  <si>
    <r>
      <t>(M</t>
    </r>
    <r>
      <rPr>
        <vertAlign val="subscript"/>
        <sz val="11"/>
        <rFont val="Verdana"/>
        <family val="0"/>
      </rPr>
      <t>1</t>
    </r>
    <r>
      <rPr>
        <sz val="11"/>
        <rFont val="Verdana"/>
        <family val="0"/>
      </rPr>
      <t>-M</t>
    </r>
    <r>
      <rPr>
        <vertAlign val="subscript"/>
        <sz val="11"/>
        <rFont val="Verdana"/>
        <family val="0"/>
      </rPr>
      <t>4</t>
    </r>
    <r>
      <rPr>
        <sz val="11"/>
        <rFont val="Verdana"/>
        <family val="0"/>
      </rPr>
      <t>)</t>
    </r>
  </si>
  <si>
    <r>
      <t>est</t>
    </r>
    <r>
      <rPr>
        <sz val="10"/>
        <rFont val="Symbol"/>
        <family val="0"/>
      </rPr>
      <t>s</t>
    </r>
    <r>
      <rPr>
        <vertAlign val="superscript"/>
        <sz val="10"/>
        <rFont val="Symbol"/>
        <family val="0"/>
      </rPr>
      <t>2</t>
    </r>
    <r>
      <rPr>
        <vertAlign val="subscript"/>
        <sz val="11"/>
        <rFont val="Verdana"/>
        <family val="0"/>
      </rPr>
      <t>M1-M4</t>
    </r>
  </si>
  <si>
    <r>
      <t>est</t>
    </r>
    <r>
      <rPr>
        <sz val="10"/>
        <rFont val="Symbol"/>
        <family val="0"/>
      </rPr>
      <t>s</t>
    </r>
    <r>
      <rPr>
        <vertAlign val="subscript"/>
        <sz val="11"/>
        <rFont val="Verdana"/>
        <family val="0"/>
      </rPr>
      <t>M1-M4</t>
    </r>
  </si>
  <si>
    <r>
      <t>est</t>
    </r>
    <r>
      <rPr>
        <sz val="10"/>
        <rFont val="Symbol"/>
        <family val="0"/>
      </rPr>
      <t>s</t>
    </r>
    <r>
      <rPr>
        <vertAlign val="subscript"/>
        <sz val="10"/>
        <rFont val="Symbol"/>
        <family val="0"/>
      </rPr>
      <t>4</t>
    </r>
    <r>
      <rPr>
        <vertAlign val="superscript"/>
        <sz val="11"/>
        <rFont val="Verdana"/>
        <family val="0"/>
      </rPr>
      <t>2</t>
    </r>
  </si>
  <si>
    <r>
      <t>est</t>
    </r>
    <r>
      <rPr>
        <sz val="10"/>
        <rFont val="Symbol"/>
        <family val="0"/>
      </rPr>
      <t>s</t>
    </r>
    <r>
      <rPr>
        <vertAlign val="subscript"/>
        <sz val="10"/>
        <rFont val="Symbol"/>
        <family val="0"/>
      </rPr>
      <t>1</t>
    </r>
    <r>
      <rPr>
        <vertAlign val="superscript"/>
        <sz val="11"/>
        <rFont val="Verdana"/>
        <family val="0"/>
      </rPr>
      <t>2</t>
    </r>
  </si>
  <si>
    <t>`</t>
  </si>
  <si>
    <t>ANOVA</t>
  </si>
  <si>
    <t>df</t>
  </si>
  <si>
    <t>SS</t>
  </si>
  <si>
    <t>Confidence interval around...</t>
  </si>
  <si>
    <t>M1</t>
  </si>
  <si>
    <t>mean of (x1-x2)</t>
  </si>
  <si>
    <t>1</t>
  </si>
  <si>
    <r>
      <t xml:space="preserve">(known </t>
    </r>
    <r>
      <rPr>
        <sz val="10"/>
        <rFont val="Symbol"/>
        <family val="0"/>
      </rPr>
      <t>s</t>
    </r>
    <r>
      <rPr>
        <vertAlign val="superscript"/>
        <sz val="10"/>
        <rFont val="Verdana"/>
        <family val="0"/>
      </rPr>
      <t>2</t>
    </r>
    <r>
      <rPr>
        <sz val="10"/>
        <rFont val="Verdana"/>
        <family val="0"/>
      </rPr>
      <t>)</t>
    </r>
  </si>
  <si>
    <r>
      <t>est</t>
    </r>
    <r>
      <rPr>
        <sz val="10"/>
        <rFont val="Symbol"/>
        <family val="0"/>
      </rPr>
      <t>s</t>
    </r>
    <r>
      <rPr>
        <vertAlign val="subscript"/>
        <sz val="10"/>
        <rFont val="Verdana"/>
        <family val="0"/>
      </rPr>
      <t>M1-M2</t>
    </r>
  </si>
  <si>
    <t>g</t>
  </si>
  <si>
    <t>Both MSW and MSB would be valid estimates of the population variance, 100</t>
  </si>
  <si>
    <t>b</t>
  </si>
  <si>
    <t>c</t>
  </si>
  <si>
    <r>
      <t>T</t>
    </r>
    <r>
      <rPr>
        <vertAlign val="subscript"/>
        <sz val="10"/>
        <rFont val="Verdana"/>
        <family val="0"/>
      </rPr>
      <t>j</t>
    </r>
    <r>
      <rPr>
        <vertAlign val="superscript"/>
        <sz val="10"/>
        <rFont val="Verdana"/>
        <family val="0"/>
      </rPr>
      <t>2</t>
    </r>
    <r>
      <rPr>
        <sz val="10"/>
        <rFont val="Verdana"/>
        <family val="0"/>
      </rPr>
      <t>/n</t>
    </r>
    <r>
      <rPr>
        <vertAlign val="subscript"/>
        <sz val="10"/>
        <rFont val="Verdana"/>
        <family val="0"/>
      </rPr>
      <t>j</t>
    </r>
  </si>
  <si>
    <r>
      <t>M</t>
    </r>
    <r>
      <rPr>
        <vertAlign val="subscript"/>
        <sz val="10"/>
        <rFont val="Verdana"/>
        <family val="0"/>
      </rPr>
      <t>j</t>
    </r>
  </si>
  <si>
    <r>
      <t>SS</t>
    </r>
    <r>
      <rPr>
        <vertAlign val="subscript"/>
        <sz val="10"/>
        <rFont val="Verdana"/>
        <family val="0"/>
      </rPr>
      <t>j</t>
    </r>
  </si>
  <si>
    <r>
      <t>df</t>
    </r>
    <r>
      <rPr>
        <vertAlign val="subscript"/>
        <sz val="10"/>
        <rFont val="Verdana"/>
        <family val="0"/>
      </rPr>
      <t>j</t>
    </r>
  </si>
  <si>
    <r>
      <t>“weight”: w</t>
    </r>
    <r>
      <rPr>
        <vertAlign val="subscript"/>
        <sz val="10"/>
        <rFont val="Verdana"/>
        <family val="0"/>
      </rPr>
      <t>j</t>
    </r>
  </si>
  <si>
    <r>
      <t>s</t>
    </r>
    <r>
      <rPr>
        <u val="single"/>
        <sz val="10"/>
        <rFont val="Verdana"/>
        <family val="0"/>
      </rPr>
      <t xml:space="preserve"> (error)</t>
    </r>
  </si>
  <si>
    <t>Rows</t>
  </si>
  <si>
    <t xml:space="preserve"> = relevant degrees of freedom</t>
  </si>
  <si>
    <t xml:space="preserve"> = criterion t</t>
  </si>
  <si>
    <t>Thus during Sophomore through Senior years, Ashley's and Jane's GPAs should only differ by .15.</t>
  </si>
  <si>
    <t>Age</t>
  </si>
  <si>
    <t>W1</t>
  </si>
  <si>
    <t>W2</t>
  </si>
  <si>
    <t>Mj</t>
  </si>
  <si>
    <t>Tj</t>
  </si>
  <si>
    <t xml:space="preserve"> = T</t>
  </si>
  <si>
    <t xml:space="preserve">SSH1 = </t>
  </si>
  <si>
    <t xml:space="preserve">SSH2 = </t>
  </si>
  <si>
    <t>H1</t>
  </si>
  <si>
    <t>(i.e., infinite)</t>
  </si>
  <si>
    <t>Condition 3</t>
  </si>
  <si>
    <r>
      <t>a</t>
    </r>
    <r>
      <rPr>
        <sz val="10"/>
        <rFont val="Verdana"/>
        <family val="0"/>
      </rPr>
      <t xml:space="preserve"> = </t>
    </r>
  </si>
  <si>
    <r>
      <t>s</t>
    </r>
    <r>
      <rPr>
        <u val="single"/>
        <sz val="10"/>
        <rFont val="Verdana"/>
        <family val="0"/>
      </rPr>
      <t xml:space="preserve"> (Conditions)</t>
    </r>
  </si>
  <si>
    <t xml:space="preserve">n = </t>
  </si>
  <si>
    <r>
      <t>T</t>
    </r>
    <r>
      <rPr>
        <vertAlign val="subscript"/>
        <sz val="10"/>
        <rFont val="Verdana"/>
        <family val="0"/>
      </rPr>
      <t>Cj</t>
    </r>
  </si>
  <si>
    <r>
      <t>M</t>
    </r>
    <r>
      <rPr>
        <vertAlign val="subscript"/>
        <sz val="10"/>
        <rFont val="Verdana"/>
        <family val="0"/>
      </rPr>
      <t>Cj</t>
    </r>
  </si>
  <si>
    <t>X</t>
  </si>
  <si>
    <t>X</t>
  </si>
  <si>
    <t xml:space="preserve"> = dfW</t>
  </si>
  <si>
    <r>
      <t>est</t>
    </r>
    <r>
      <rPr>
        <sz val="10"/>
        <rFont val="Symbol"/>
        <family val="0"/>
      </rPr>
      <t>s</t>
    </r>
    <r>
      <rPr>
        <vertAlign val="superscript"/>
        <sz val="11"/>
        <rFont val="Verdana"/>
        <family val="0"/>
      </rPr>
      <t>2</t>
    </r>
    <r>
      <rPr>
        <sz val="11"/>
        <rFont val="Verdana"/>
        <family val="0"/>
      </rPr>
      <t xml:space="preserve"> = </t>
    </r>
  </si>
  <si>
    <t xml:space="preserve">df = </t>
  </si>
  <si>
    <t>SS =</t>
  </si>
  <si>
    <t xml:space="preserve">Obt t = </t>
  </si>
  <si>
    <t xml:space="preserve">Crit t = </t>
  </si>
  <si>
    <t xml:space="preserve">Decision: </t>
  </si>
  <si>
    <t>f</t>
  </si>
  <si>
    <t>g</t>
  </si>
  <si>
    <r>
      <t>s</t>
    </r>
    <r>
      <rPr>
        <vertAlign val="superscript"/>
        <sz val="11"/>
        <rFont val="Verdana"/>
        <family val="0"/>
      </rPr>
      <t>2</t>
    </r>
  </si>
  <si>
    <t>crit z</t>
  </si>
  <si>
    <t>h</t>
  </si>
  <si>
    <r>
      <t>S</t>
    </r>
    <r>
      <rPr>
        <sz val="10"/>
        <rFont val="Verdana"/>
        <family val="0"/>
      </rPr>
      <t>T</t>
    </r>
    <r>
      <rPr>
        <vertAlign val="subscript"/>
        <sz val="10"/>
        <rFont val="Verdana"/>
        <family val="0"/>
      </rPr>
      <t>j</t>
    </r>
    <r>
      <rPr>
        <vertAlign val="superscript"/>
        <sz val="10"/>
        <rFont val="Verdana"/>
        <family val="0"/>
      </rPr>
      <t>2</t>
    </r>
    <r>
      <rPr>
        <sz val="10"/>
        <rFont val="Verdana"/>
        <family val="0"/>
      </rPr>
      <t>/n</t>
    </r>
    <r>
      <rPr>
        <vertAlign val="subscript"/>
        <sz val="10"/>
        <rFont val="Verdana"/>
        <family val="0"/>
      </rPr>
      <t>j</t>
    </r>
  </si>
  <si>
    <t>H2</t>
  </si>
  <si>
    <t>Residual</t>
  </si>
  <si>
    <t>% var</t>
  </si>
  <si>
    <t xml:space="preserve">H1: r = </t>
  </si>
  <si>
    <t xml:space="preserve">H2: r = </t>
  </si>
  <si>
    <t xml:space="preserve"> = Mean ages 6-45</t>
  </si>
  <si>
    <t xml:space="preserve"> = Mean ages 65-90</t>
  </si>
  <si>
    <t>How much lower and higher?</t>
  </si>
  <si>
    <r>
      <t>s</t>
    </r>
    <r>
      <rPr>
        <sz val="11"/>
        <rFont val="Verdana"/>
        <family val="0"/>
      </rPr>
      <t xml:space="preserve"> = </t>
    </r>
  </si>
  <si>
    <t>between Freshman GPA and Sophmore-Senior GPA</t>
  </si>
  <si>
    <t>mean GPA for all classes</t>
  </si>
  <si>
    <t>GPA standard deviation for all classes</t>
  </si>
  <si>
    <t>Basically: because of regression to the mean...</t>
  </si>
  <si>
    <t>Ashley's GPA should be higher than 2.0 during her sophomore through senior years</t>
  </si>
  <si>
    <t>Statistic</t>
  </si>
  <si>
    <t>Sums</t>
  </si>
  <si>
    <t xml:space="preserve"> = SSW</t>
  </si>
  <si>
    <t xml:space="preserve"> = T</t>
  </si>
  <si>
    <t xml:space="preserve"> = N</t>
  </si>
  <si>
    <r>
      <t>S</t>
    </r>
    <r>
      <rPr>
        <sz val="10"/>
        <rFont val="Verdana"/>
        <family val="0"/>
      </rPr>
      <t>x</t>
    </r>
    <r>
      <rPr>
        <vertAlign val="subscript"/>
        <sz val="10"/>
        <rFont val="Verdana"/>
        <family val="0"/>
      </rPr>
      <t>i</t>
    </r>
    <r>
      <rPr>
        <vertAlign val="superscript"/>
        <sz val="10"/>
        <rFont val="Verdana"/>
        <family val="0"/>
      </rPr>
      <t>2</t>
    </r>
  </si>
  <si>
    <t xml:space="preserve">% Conf: </t>
  </si>
  <si>
    <t xml:space="preserve">MSW: </t>
  </si>
  <si>
    <t>Calculations</t>
  </si>
  <si>
    <t>Decision</t>
  </si>
  <si>
    <t>Metal (x2)</t>
  </si>
  <si>
    <t>(x1-x2)</t>
  </si>
  <si>
    <t xml:space="preserve">M = </t>
  </si>
  <si>
    <t>a</t>
  </si>
  <si>
    <t xml:space="preserve">H0: </t>
  </si>
  <si>
    <t>mu1 = mu2</t>
  </si>
  <si>
    <t xml:space="preserve">H1: </t>
  </si>
  <si>
    <t>mu1 &gt; mu2</t>
  </si>
  <si>
    <t>Mean of (x1-x2)</t>
  </si>
  <si>
    <t>If H0 true, then summary score is distributed with</t>
  </si>
  <si>
    <t xml:space="preserve">df = </t>
  </si>
  <si>
    <t xml:space="preserve">Obt t = </t>
  </si>
  <si>
    <r>
      <t>m</t>
    </r>
    <r>
      <rPr>
        <sz val="10"/>
        <rFont val="Verdana"/>
        <family val="0"/>
      </rPr>
      <t xml:space="preserve"> = </t>
    </r>
  </si>
  <si>
    <t xml:space="preserve">% confidence = </t>
  </si>
  <si>
    <t xml:space="preserve">df = </t>
  </si>
  <si>
    <t>Mean</t>
  </si>
  <si>
    <t>Test (M1-M2) against a constant of zero</t>
  </si>
  <si>
    <t>(M1-M2)</t>
  </si>
  <si>
    <t xml:space="preserve">SSC = </t>
  </si>
  <si>
    <t>d</t>
  </si>
  <si>
    <t xml:space="preserve">J = </t>
  </si>
  <si>
    <t xml:space="preserve">SSB = </t>
  </si>
  <si>
    <t>e</t>
  </si>
  <si>
    <t>X</t>
  </si>
  <si>
    <t>Y</t>
  </si>
  <si>
    <r>
      <t>S</t>
    </r>
    <r>
      <rPr>
        <sz val="10"/>
        <rFont val="Verdana"/>
        <family val="0"/>
      </rPr>
      <t xml:space="preserve">X = </t>
    </r>
  </si>
  <si>
    <r>
      <t>S</t>
    </r>
    <r>
      <rPr>
        <sz val="10"/>
        <rFont val="Verdana"/>
        <family val="0"/>
      </rPr>
      <t xml:space="preserve">Y = </t>
    </r>
  </si>
  <si>
    <r>
      <t>S</t>
    </r>
    <r>
      <rPr>
        <sz val="11"/>
        <rFont val="Times New Roman"/>
        <family val="0"/>
      </rPr>
      <t>T</t>
    </r>
    <r>
      <rPr>
        <vertAlign val="superscript"/>
        <sz val="11"/>
        <rFont val="Times New Roman"/>
        <family val="0"/>
      </rPr>
      <t>2</t>
    </r>
    <r>
      <rPr>
        <sz val="8"/>
        <rFont val="Times New Roman"/>
        <family val="0"/>
      </rPr>
      <t>Cj</t>
    </r>
    <r>
      <rPr>
        <sz val="11"/>
        <rFont val="Times New Roman"/>
        <family val="0"/>
      </rPr>
      <t xml:space="preserve"> = </t>
    </r>
  </si>
  <si>
    <r>
      <t>S</t>
    </r>
    <r>
      <rPr>
        <sz val="11"/>
        <rFont val="Times New Roman"/>
        <family val="0"/>
      </rPr>
      <t>T</t>
    </r>
    <r>
      <rPr>
        <vertAlign val="superscript"/>
        <sz val="11"/>
        <rFont val="Times New Roman"/>
        <family val="0"/>
      </rPr>
      <t>2</t>
    </r>
    <r>
      <rPr>
        <sz val="8"/>
        <rFont val="Times New Roman"/>
        <family val="0"/>
      </rPr>
      <t>Rk</t>
    </r>
    <r>
      <rPr>
        <sz val="11"/>
        <rFont val="Times New Roman"/>
        <family val="0"/>
      </rPr>
      <t xml:space="preserve"> = </t>
    </r>
  </si>
  <si>
    <r>
      <t>SS</t>
    </r>
    <r>
      <rPr>
        <sz val="11"/>
        <rFont val="Times New Roman"/>
        <family val="0"/>
      </rPr>
      <t>x</t>
    </r>
    <r>
      <rPr>
        <vertAlign val="superscript"/>
        <sz val="11"/>
        <rFont val="Times New Roman"/>
        <family val="0"/>
      </rPr>
      <t>2</t>
    </r>
    <r>
      <rPr>
        <sz val="8"/>
        <rFont val="Times New Roman"/>
        <family val="0"/>
      </rPr>
      <t>i4k</t>
    </r>
    <r>
      <rPr>
        <sz val="11"/>
        <rFont val="Times New Roman"/>
        <family val="0"/>
      </rPr>
      <t xml:space="preserve"> =</t>
    </r>
  </si>
  <si>
    <r>
      <t>T</t>
    </r>
    <r>
      <rPr>
        <vertAlign val="subscript"/>
        <sz val="10"/>
        <rFont val="Verdana"/>
        <family val="0"/>
      </rPr>
      <t>Cj</t>
    </r>
    <r>
      <rPr>
        <sz val="10"/>
        <rFont val="Verdana"/>
        <family val="0"/>
      </rPr>
      <t>'s</t>
    </r>
  </si>
  <si>
    <r>
      <t>M</t>
    </r>
    <r>
      <rPr>
        <vertAlign val="subscript"/>
        <sz val="10"/>
        <rFont val="Verdana"/>
        <family val="0"/>
      </rPr>
      <t>Cj</t>
    </r>
    <r>
      <rPr>
        <sz val="10"/>
        <rFont val="Verdana"/>
        <family val="0"/>
      </rPr>
      <t>'s</t>
    </r>
  </si>
  <si>
    <r>
      <t>M</t>
    </r>
    <r>
      <rPr>
        <vertAlign val="subscript"/>
        <sz val="10"/>
        <rFont val="Verdana"/>
        <family val="0"/>
      </rPr>
      <t>Rk</t>
    </r>
    <r>
      <rPr>
        <sz val="10"/>
        <rFont val="Verdana"/>
        <family val="0"/>
      </rPr>
      <t>'s</t>
    </r>
  </si>
  <si>
    <r>
      <t>T</t>
    </r>
    <r>
      <rPr>
        <vertAlign val="subscript"/>
        <sz val="10"/>
        <rFont val="Verdana"/>
        <family val="0"/>
      </rPr>
      <t>Rk</t>
    </r>
    <r>
      <rPr>
        <sz val="10"/>
        <rFont val="Verdana"/>
        <family val="0"/>
      </rPr>
      <t>'s</t>
    </r>
  </si>
  <si>
    <t xml:space="preserve">SSB = </t>
  </si>
  <si>
    <t xml:space="preserve">SSC = </t>
  </si>
  <si>
    <t>From Exam 3, Question 2...</t>
  </si>
  <si>
    <t>b</t>
  </si>
  <si>
    <r>
      <t>SS</t>
    </r>
    <r>
      <rPr>
        <sz val="11"/>
        <rFont val="Times New Roman"/>
        <family val="0"/>
      </rPr>
      <t>x</t>
    </r>
    <r>
      <rPr>
        <vertAlign val="superscript"/>
        <sz val="11"/>
        <rFont val="Times New Roman"/>
        <family val="0"/>
      </rPr>
      <t>2</t>
    </r>
    <r>
      <rPr>
        <sz val="8"/>
        <rFont val="Times New Roman"/>
        <family val="0"/>
      </rPr>
      <t>ijk</t>
    </r>
    <r>
      <rPr>
        <sz val="11"/>
        <rFont val="Times New Roman"/>
        <family val="0"/>
      </rPr>
      <t xml:space="preserve"> = </t>
    </r>
  </si>
  <si>
    <t>is assumed</t>
  </si>
  <si>
    <t>Within</t>
  </si>
  <si>
    <t>Total</t>
  </si>
  <si>
    <t>c</t>
  </si>
  <si>
    <t>Subjects</t>
  </si>
  <si>
    <t>AxS</t>
  </si>
  <si>
    <r>
      <t>T</t>
    </r>
    <r>
      <rPr>
        <vertAlign val="subscript"/>
        <sz val="10"/>
        <rFont val="Verdana"/>
        <family val="0"/>
      </rPr>
      <t>j</t>
    </r>
  </si>
  <si>
    <r>
      <t>M</t>
    </r>
    <r>
      <rPr>
        <vertAlign val="subscript"/>
        <sz val="10"/>
        <rFont val="Verdana"/>
        <family val="0"/>
      </rPr>
      <t>j</t>
    </r>
  </si>
  <si>
    <t>Source</t>
  </si>
  <si>
    <t>SS</t>
  </si>
  <si>
    <t>MS</t>
  </si>
  <si>
    <t>Obt F</t>
  </si>
  <si>
    <r>
      <t xml:space="preserve"> = T</t>
    </r>
    <r>
      <rPr>
        <vertAlign val="superscript"/>
        <sz val="10"/>
        <rFont val="Verdana"/>
        <family val="0"/>
      </rPr>
      <t>2</t>
    </r>
    <r>
      <rPr>
        <sz val="10"/>
        <rFont val="Verdana"/>
        <family val="0"/>
      </rPr>
      <t>/N</t>
    </r>
  </si>
  <si>
    <t>1</t>
  </si>
  <si>
    <r>
      <t>est</t>
    </r>
    <r>
      <rPr>
        <sz val="10"/>
        <rFont val="Symbol"/>
        <family val="0"/>
      </rPr>
      <t>s</t>
    </r>
    <r>
      <rPr>
        <vertAlign val="subscript"/>
        <sz val="10"/>
        <rFont val="Symbol"/>
        <family val="0"/>
      </rPr>
      <t>M</t>
    </r>
    <r>
      <rPr>
        <sz val="10"/>
        <rFont val="Verdana"/>
        <family val="0"/>
      </rPr>
      <t xml:space="preserve"> = </t>
    </r>
  </si>
  <si>
    <t xml:space="preserve">crit t = </t>
  </si>
  <si>
    <r>
      <t>CI = M</t>
    </r>
    <r>
      <rPr>
        <vertAlign val="subscript"/>
        <sz val="10"/>
        <rFont val="Verdana"/>
        <family val="0"/>
      </rPr>
      <t>jk</t>
    </r>
    <r>
      <rPr>
        <sz val="10"/>
        <rFont val="Verdana"/>
        <family val="0"/>
      </rPr>
      <t xml:space="preserve"> ± </t>
    </r>
  </si>
  <si>
    <r>
      <t>s</t>
    </r>
    <r>
      <rPr>
        <vertAlign val="superscript"/>
        <sz val="10"/>
        <rFont val="Verdana"/>
        <family val="0"/>
      </rPr>
      <t>2</t>
    </r>
    <r>
      <rPr>
        <sz val="10"/>
        <rFont val="Verdana"/>
        <family val="0"/>
      </rPr>
      <t xml:space="preserve"> = </t>
    </r>
  </si>
  <si>
    <r>
      <t>s</t>
    </r>
    <r>
      <rPr>
        <sz val="10"/>
        <rFont val="Verdana"/>
        <family val="0"/>
      </rPr>
      <t xml:space="preserve"> = </t>
    </r>
  </si>
  <si>
    <r>
      <t>n</t>
    </r>
    <r>
      <rPr>
        <vertAlign val="subscript"/>
        <sz val="10"/>
        <rFont val="Verdana"/>
        <family val="0"/>
      </rPr>
      <t>1</t>
    </r>
  </si>
  <si>
    <r>
      <t>n</t>
    </r>
    <r>
      <rPr>
        <vertAlign val="subscript"/>
        <sz val="10"/>
        <rFont val="Verdana"/>
        <family val="0"/>
      </rPr>
      <t>2</t>
    </r>
  </si>
  <si>
    <r>
      <t>n</t>
    </r>
    <r>
      <rPr>
        <vertAlign val="subscript"/>
        <sz val="10"/>
        <rFont val="Verdana"/>
        <family val="0"/>
      </rPr>
      <t>3</t>
    </r>
  </si>
  <si>
    <r>
      <t xml:space="preserve">Group 1: </t>
    </r>
    <r>
      <rPr>
        <sz val="10"/>
        <rFont val="Symbol"/>
        <family val="0"/>
      </rPr>
      <t>s</t>
    </r>
    <r>
      <rPr>
        <vertAlign val="superscript"/>
        <sz val="10"/>
        <rFont val="Verdana"/>
        <family val="0"/>
      </rPr>
      <t>2</t>
    </r>
    <r>
      <rPr>
        <vertAlign val="subscript"/>
        <sz val="10"/>
        <rFont val="Verdana"/>
        <family val="0"/>
      </rPr>
      <t>M</t>
    </r>
  </si>
  <si>
    <t>Source</t>
  </si>
  <si>
    <t>df</t>
  </si>
  <si>
    <t>SS</t>
  </si>
  <si>
    <t>MS</t>
  </si>
  <si>
    <t>Obt F</t>
  </si>
  <si>
    <t>Crit F</t>
  </si>
  <si>
    <t>Decision</t>
  </si>
  <si>
    <t>Between</t>
  </si>
  <si>
    <t>Altitude</t>
  </si>
  <si>
    <t>Reject H0</t>
  </si>
  <si>
    <t>Subjects</t>
  </si>
  <si>
    <t>AxS</t>
  </si>
  <si>
    <t>Condition 1</t>
  </si>
  <si>
    <t>Condition 2</t>
  </si>
  <si>
    <r>
      <t>n</t>
    </r>
    <r>
      <rPr>
        <vertAlign val="subscript"/>
        <sz val="10"/>
        <rFont val="Verdana"/>
        <family val="0"/>
      </rPr>
      <t>j</t>
    </r>
  </si>
  <si>
    <t>1</t>
  </si>
  <si>
    <r>
      <t>m</t>
    </r>
    <r>
      <rPr>
        <sz val="11"/>
        <rFont val="Verdana"/>
        <family val="0"/>
      </rPr>
      <t xml:space="preserve"> = </t>
    </r>
  </si>
  <si>
    <t xml:space="preserve">Crit t = </t>
  </si>
  <si>
    <t>Reject H0</t>
  </si>
  <si>
    <t>b</t>
  </si>
  <si>
    <t xml:space="preserve">Summary score = </t>
  </si>
  <si>
    <r>
      <t>w</t>
    </r>
    <r>
      <rPr>
        <vertAlign val="superscript"/>
        <sz val="11"/>
        <rFont val="Verdana"/>
        <family val="0"/>
      </rPr>
      <t>2</t>
    </r>
    <r>
      <rPr>
        <sz val="11"/>
        <rFont val="Verdana"/>
        <family val="0"/>
      </rPr>
      <t xml:space="preserve"> = </t>
    </r>
  </si>
  <si>
    <r>
      <t>n</t>
    </r>
    <r>
      <rPr>
        <vertAlign val="subscript"/>
        <sz val="10"/>
        <rFont val="Verdana"/>
        <family val="0"/>
      </rPr>
      <t>C</t>
    </r>
  </si>
  <si>
    <r>
      <t>n</t>
    </r>
    <r>
      <rPr>
        <vertAlign val="subscript"/>
        <sz val="10"/>
        <rFont val="Verdana"/>
        <family val="0"/>
      </rPr>
      <t>R</t>
    </r>
  </si>
  <si>
    <t xml:space="preserve">Relevant standard error: </t>
  </si>
  <si>
    <t xml:space="preserve">estsigmasq = </t>
  </si>
  <si>
    <t>M1</t>
  </si>
  <si>
    <t xml:space="preserve">est sigmasqM = </t>
  </si>
  <si>
    <t>M2</t>
  </si>
  <si>
    <t>(M1-M2)</t>
  </si>
  <si>
    <t>2</t>
  </si>
  <si>
    <t>3</t>
  </si>
  <si>
    <t>can't compute</t>
  </si>
  <si>
    <t>can't compute</t>
  </si>
  <si>
    <t>wood advantage</t>
  </si>
  <si>
    <t>f</t>
  </si>
  <si>
    <t>g</t>
  </si>
  <si>
    <t>h</t>
  </si>
  <si>
    <t>i</t>
  </si>
  <si>
    <t xml:space="preserve">M = </t>
  </si>
  <si>
    <t>In "calculations" column of table</t>
  </si>
  <si>
    <t>c</t>
  </si>
  <si>
    <t>d</t>
  </si>
  <si>
    <t xml:space="preserve">SS = </t>
  </si>
  <si>
    <t xml:space="preserve">n = </t>
  </si>
  <si>
    <t xml:space="preserve">SumX = </t>
  </si>
  <si>
    <t>Office bias</t>
  </si>
  <si>
    <t xml:space="preserve">sigmaM = </t>
  </si>
  <si>
    <t>1</t>
  </si>
  <si>
    <t>2</t>
  </si>
  <si>
    <t>4</t>
  </si>
  <si>
    <t xml:space="preserve"> = standard error</t>
  </si>
  <si>
    <t xml:space="preserve"> = confidence interval</t>
  </si>
  <si>
    <t>For Condition 4 only...</t>
  </si>
  <si>
    <t>Crit F</t>
  </si>
  <si>
    <t>Mean</t>
  </si>
  <si>
    <r>
      <t>s</t>
    </r>
    <r>
      <rPr>
        <vertAlign val="subscript"/>
        <sz val="10"/>
        <rFont val="Verdana"/>
        <family val="0"/>
      </rPr>
      <t>M1-M2</t>
    </r>
  </si>
  <si>
    <r>
      <t>est</t>
    </r>
    <r>
      <rPr>
        <sz val="10"/>
        <rFont val="Symbol"/>
        <family val="0"/>
      </rPr>
      <t>s</t>
    </r>
    <r>
      <rPr>
        <vertAlign val="subscript"/>
        <sz val="10"/>
        <rFont val="Verdana"/>
        <family val="0"/>
      </rPr>
      <t>M</t>
    </r>
  </si>
  <si>
    <t>Use same MSW as above --&gt;</t>
  </si>
  <si>
    <t>e</t>
  </si>
  <si>
    <t>upper limit</t>
  </si>
  <si>
    <t xml:space="preserve">N = </t>
  </si>
  <si>
    <t>e</t>
  </si>
  <si>
    <r>
      <t>est</t>
    </r>
    <r>
      <rPr>
        <sz val="10"/>
        <rFont val="Symbol"/>
        <family val="0"/>
      </rPr>
      <t>s</t>
    </r>
    <r>
      <rPr>
        <vertAlign val="superscript"/>
        <sz val="10"/>
        <rFont val="Verdana"/>
        <family val="0"/>
      </rPr>
      <t>2</t>
    </r>
    <r>
      <rPr>
        <sz val="10"/>
        <rFont val="Verdana"/>
        <family val="0"/>
      </rPr>
      <t xml:space="preserve"> = </t>
    </r>
  </si>
  <si>
    <t xml:space="preserve"> = relevant mean square (based on subjects plus interaction, i.e., all but "Altitude")</t>
  </si>
  <si>
    <t xml:space="preserve"> = MSW</t>
  </si>
  <si>
    <t xml:space="preserve">SS(CxR) = </t>
  </si>
  <si>
    <t xml:space="preserve">SSR = </t>
  </si>
  <si>
    <t>based on 4 degrees of freedom</t>
  </si>
  <si>
    <t xml:space="preserve">MSW = </t>
  </si>
  <si>
    <t>a</t>
  </si>
  <si>
    <t xml:space="preserve">SSB = </t>
  </si>
  <si>
    <t xml:space="preserve">est sigmaM = </t>
  </si>
  <si>
    <r>
      <t>T</t>
    </r>
    <r>
      <rPr>
        <vertAlign val="subscript"/>
        <sz val="10"/>
        <rFont val="Verdana"/>
        <family val="0"/>
      </rPr>
      <t>j</t>
    </r>
  </si>
  <si>
    <t>Teens</t>
  </si>
  <si>
    <t>20's</t>
  </si>
  <si>
    <t>40's</t>
  </si>
  <si>
    <t>60's</t>
  </si>
  <si>
    <t>None</t>
  </si>
  <si>
    <t>500 mg</t>
  </si>
  <si>
    <t>2000 mg</t>
  </si>
  <si>
    <t>2</t>
  </si>
  <si>
    <t>a</t>
  </si>
  <si>
    <t xml:space="preserve">dfB = </t>
  </si>
  <si>
    <t xml:space="preserve">dfW = </t>
  </si>
  <si>
    <t>Jane's GPA should be lower than 3.5 during her sophomore through senior years</t>
  </si>
  <si>
    <r>
      <t>Predicted z</t>
    </r>
    <r>
      <rPr>
        <vertAlign val="subscript"/>
        <sz val="11"/>
        <rFont val="Verdana"/>
        <family val="0"/>
      </rPr>
      <t>So-Sn</t>
    </r>
    <r>
      <rPr>
        <sz val="11"/>
        <rFont val="Verdana"/>
        <family val="0"/>
      </rPr>
      <t xml:space="preserve"> = </t>
    </r>
  </si>
  <si>
    <r>
      <t>r</t>
    </r>
    <r>
      <rPr>
        <sz val="11"/>
        <rFont val="Verdana"/>
        <family val="0"/>
      </rPr>
      <t xml:space="preserve"> = </t>
    </r>
  </si>
  <si>
    <r>
      <t>Predicted GPA</t>
    </r>
    <r>
      <rPr>
        <vertAlign val="subscript"/>
        <sz val="11"/>
        <rFont val="Verdana"/>
        <family val="0"/>
      </rPr>
      <t>So-Sn</t>
    </r>
    <r>
      <rPr>
        <sz val="11"/>
        <rFont val="Verdana"/>
        <family val="0"/>
      </rPr>
      <t xml:space="preserve"> = </t>
    </r>
  </si>
  <si>
    <r>
      <t>z</t>
    </r>
    <r>
      <rPr>
        <vertAlign val="subscript"/>
        <sz val="11"/>
        <rFont val="Verdana"/>
        <family val="0"/>
      </rPr>
      <t>F</t>
    </r>
    <r>
      <rPr>
        <sz val="11"/>
        <rFont val="Verdana"/>
        <family val="0"/>
      </rPr>
      <t xml:space="preserve"> = </t>
    </r>
  </si>
  <si>
    <r>
      <t>Ashley: GPA</t>
    </r>
    <r>
      <rPr>
        <vertAlign val="subscript"/>
        <sz val="11"/>
        <rFont val="Verdana"/>
        <family val="0"/>
      </rPr>
      <t>F</t>
    </r>
    <r>
      <rPr>
        <sz val="11"/>
        <rFont val="Verdana"/>
        <family val="0"/>
      </rPr>
      <t xml:space="preserve"> = </t>
    </r>
  </si>
  <si>
    <r>
      <t>Jane: GPA</t>
    </r>
    <r>
      <rPr>
        <vertAlign val="subscript"/>
        <sz val="11"/>
        <rFont val="Verdana"/>
        <family val="0"/>
      </rPr>
      <t>F</t>
    </r>
    <r>
      <rPr>
        <sz val="11"/>
        <rFont val="Verdana"/>
        <family val="0"/>
      </rPr>
      <t xml:space="preserve"> = </t>
    </r>
  </si>
  <si>
    <t>CxR</t>
  </si>
  <si>
    <t>Decision</t>
  </si>
  <si>
    <t>Mean diff</t>
  </si>
  <si>
    <t>CI</t>
  </si>
  <si>
    <t>crit t</t>
  </si>
  <si>
    <t>Lower limit</t>
  </si>
  <si>
    <t>Upper limit</t>
  </si>
  <si>
    <t>Obt F</t>
  </si>
  <si>
    <t>Between</t>
  </si>
  <si>
    <t xml:space="preserve">SSW = </t>
  </si>
  <si>
    <t xml:space="preserve">dfW = </t>
  </si>
  <si>
    <t xml:space="preserve">% confidence = </t>
  </si>
  <si>
    <r>
      <t>s</t>
    </r>
    <r>
      <rPr>
        <vertAlign val="superscript"/>
        <sz val="10"/>
        <rFont val="Verdana"/>
        <family val="0"/>
      </rPr>
      <t>2</t>
    </r>
    <r>
      <rPr>
        <vertAlign val="subscript"/>
        <sz val="10"/>
        <rFont val="Verdana"/>
        <family val="0"/>
      </rPr>
      <t>M</t>
    </r>
  </si>
  <si>
    <r>
      <t>s</t>
    </r>
    <r>
      <rPr>
        <vertAlign val="subscript"/>
        <sz val="10"/>
        <rFont val="Verdana"/>
        <family val="0"/>
      </rPr>
      <t>M</t>
    </r>
  </si>
  <si>
    <r>
      <t>CI</t>
    </r>
    <r>
      <rPr>
        <vertAlign val="subscript"/>
        <sz val="10"/>
        <rFont val="Verdana"/>
        <family val="0"/>
      </rPr>
      <t>j</t>
    </r>
    <r>
      <rPr>
        <sz val="10"/>
        <rFont val="Verdana"/>
        <family val="0"/>
      </rPr>
      <t xml:space="preserve"> (no HOV)</t>
    </r>
  </si>
  <si>
    <t>Race altitude (feet)</t>
  </si>
  <si>
    <t xml:space="preserve">K = </t>
  </si>
  <si>
    <t>Altitude</t>
  </si>
  <si>
    <r>
      <t>m</t>
    </r>
    <r>
      <rPr>
        <vertAlign val="subscript"/>
        <sz val="10"/>
        <rFont val="Verdana"/>
        <family val="0"/>
      </rPr>
      <t>j</t>
    </r>
  </si>
  <si>
    <r>
      <t>CI</t>
    </r>
    <r>
      <rPr>
        <vertAlign val="subscript"/>
        <sz val="10"/>
        <rFont val="Verdana"/>
        <family val="0"/>
      </rPr>
      <t>j</t>
    </r>
    <r>
      <rPr>
        <sz val="10"/>
        <rFont val="Verdana"/>
        <family val="0"/>
      </rPr>
      <t xml:space="preserve"> (HOV)</t>
    </r>
  </si>
  <si>
    <r>
      <t xml:space="preserve">SS = (n x </t>
    </r>
    <r>
      <rPr>
        <sz val="10"/>
        <rFont val="Symbol"/>
        <family val="0"/>
      </rPr>
      <t>S</t>
    </r>
    <r>
      <rPr>
        <sz val="10"/>
        <rFont val="Verdana"/>
        <family val="0"/>
      </rPr>
      <t>(W</t>
    </r>
    <r>
      <rPr>
        <vertAlign val="subscript"/>
        <sz val="10"/>
        <rFont val="Verdana"/>
        <family val="0"/>
      </rPr>
      <t>j</t>
    </r>
    <r>
      <rPr>
        <sz val="10"/>
        <rFont val="Verdana"/>
        <family val="0"/>
      </rPr>
      <t>M</t>
    </r>
    <r>
      <rPr>
        <vertAlign val="subscript"/>
        <sz val="10"/>
        <rFont val="Verdana"/>
        <family val="0"/>
      </rPr>
      <t>j</t>
    </r>
    <r>
      <rPr>
        <sz val="10"/>
        <rFont val="Verdana"/>
        <family val="0"/>
      </rPr>
      <t>)</t>
    </r>
    <r>
      <rPr>
        <vertAlign val="superscript"/>
        <sz val="10"/>
        <rFont val="Verdana"/>
        <family val="0"/>
      </rPr>
      <t>2</t>
    </r>
    <r>
      <rPr>
        <sz val="10"/>
        <rFont val="Verdana"/>
        <family val="0"/>
      </rPr>
      <t>)/</t>
    </r>
    <r>
      <rPr>
        <sz val="10"/>
        <rFont val="Symbol"/>
        <family val="0"/>
      </rPr>
      <t>S</t>
    </r>
    <r>
      <rPr>
        <sz val="10"/>
        <rFont val="Verdana"/>
        <family val="0"/>
      </rPr>
      <t>(W</t>
    </r>
    <r>
      <rPr>
        <vertAlign val="subscript"/>
        <sz val="10"/>
        <rFont val="Verdana"/>
        <family val="0"/>
      </rPr>
      <t>j</t>
    </r>
    <r>
      <rPr>
        <vertAlign val="superscript"/>
        <sz val="10"/>
        <rFont val="Verdana"/>
        <family val="0"/>
      </rPr>
      <t>2</t>
    </r>
    <r>
      <rPr>
        <sz val="10"/>
        <rFont val="Verdana"/>
        <family val="0"/>
      </rPr>
      <t>) = SS for orginal weights, W</t>
    </r>
    <r>
      <rPr>
        <vertAlign val="subscript"/>
        <sz val="10"/>
        <rFont val="Verdana"/>
        <family val="0"/>
      </rPr>
      <t>j</t>
    </r>
  </si>
  <si>
    <r>
      <t>SS = [k</t>
    </r>
    <r>
      <rPr>
        <vertAlign val="superscript"/>
        <sz val="10"/>
        <rFont val="Verdana"/>
        <family val="0"/>
      </rPr>
      <t>2</t>
    </r>
    <r>
      <rPr>
        <sz val="10"/>
        <rFont val="Verdana"/>
        <family val="0"/>
      </rPr>
      <t xml:space="preserve"> x n x </t>
    </r>
    <r>
      <rPr>
        <sz val="10"/>
        <rFont val="Symbol"/>
        <family val="0"/>
      </rPr>
      <t>S</t>
    </r>
    <r>
      <rPr>
        <sz val="10"/>
        <rFont val="Verdana"/>
        <family val="0"/>
      </rPr>
      <t>(W</t>
    </r>
    <r>
      <rPr>
        <vertAlign val="subscript"/>
        <sz val="10"/>
        <rFont val="Verdana"/>
        <family val="0"/>
      </rPr>
      <t>j</t>
    </r>
    <r>
      <rPr>
        <sz val="10"/>
        <rFont val="Verdana"/>
        <family val="0"/>
      </rPr>
      <t>M</t>
    </r>
    <r>
      <rPr>
        <vertAlign val="subscript"/>
        <sz val="10"/>
        <rFont val="Verdana"/>
        <family val="0"/>
      </rPr>
      <t>j</t>
    </r>
    <r>
      <rPr>
        <sz val="10"/>
        <rFont val="Verdana"/>
        <family val="0"/>
      </rPr>
      <t>)</t>
    </r>
    <r>
      <rPr>
        <vertAlign val="superscript"/>
        <sz val="10"/>
        <rFont val="Verdana"/>
        <family val="0"/>
      </rPr>
      <t>2</t>
    </r>
    <r>
      <rPr>
        <sz val="10"/>
        <rFont val="Verdana"/>
        <family val="0"/>
      </rPr>
      <t>)]/[k</t>
    </r>
    <r>
      <rPr>
        <vertAlign val="superscript"/>
        <sz val="10"/>
        <rFont val="Verdana"/>
        <family val="0"/>
      </rPr>
      <t>2</t>
    </r>
    <r>
      <rPr>
        <sz val="10"/>
        <rFont val="Verdana"/>
        <family val="0"/>
      </rPr>
      <t xml:space="preserve"> x </t>
    </r>
    <r>
      <rPr>
        <sz val="10"/>
        <rFont val="Symbol"/>
        <family val="0"/>
      </rPr>
      <t>S</t>
    </r>
    <r>
      <rPr>
        <sz val="10"/>
        <rFont val="Verdana"/>
        <family val="0"/>
      </rPr>
      <t>(W</t>
    </r>
    <r>
      <rPr>
        <vertAlign val="subscript"/>
        <sz val="10"/>
        <rFont val="Verdana"/>
        <family val="0"/>
      </rPr>
      <t>j</t>
    </r>
    <r>
      <rPr>
        <vertAlign val="superscript"/>
        <sz val="10"/>
        <rFont val="Verdana"/>
        <family val="0"/>
      </rPr>
      <t>2</t>
    </r>
    <r>
      <rPr>
        <sz val="10"/>
        <rFont val="Verdana"/>
        <family val="0"/>
      </rPr>
      <t>)]</t>
    </r>
  </si>
  <si>
    <r>
      <t>W</t>
    </r>
    <r>
      <rPr>
        <vertAlign val="subscript"/>
        <sz val="10"/>
        <rFont val="Verdana"/>
        <family val="0"/>
      </rPr>
      <t>j</t>
    </r>
    <r>
      <rPr>
        <sz val="10"/>
        <rFont val="Verdana"/>
        <family val="0"/>
      </rPr>
      <t xml:space="preserve">: </t>
    </r>
  </si>
  <si>
    <r>
      <t>W</t>
    </r>
    <r>
      <rPr>
        <vertAlign val="subscript"/>
        <sz val="10"/>
        <rFont val="Verdana"/>
        <family val="0"/>
      </rPr>
      <t>j</t>
    </r>
    <r>
      <rPr>
        <sz val="10"/>
        <rFont val="Verdana"/>
        <family val="0"/>
      </rPr>
      <t xml:space="preserve">': </t>
    </r>
  </si>
  <si>
    <t>3</t>
  </si>
  <si>
    <t>HH</t>
  </si>
  <si>
    <t>TT</t>
  </si>
  <si>
    <t>Observed</t>
  </si>
  <si>
    <t xml:space="preserve">Number of tosses = </t>
  </si>
  <si>
    <t>p Expected</t>
  </si>
  <si>
    <t>f Expected</t>
  </si>
  <si>
    <t>HT or TH</t>
  </si>
  <si>
    <r>
      <t>(f</t>
    </r>
    <r>
      <rPr>
        <vertAlign val="subscript"/>
        <sz val="11"/>
        <rFont val="Verdana"/>
        <family val="0"/>
      </rPr>
      <t>e</t>
    </r>
    <r>
      <rPr>
        <sz val="11"/>
        <rFont val="Verdana"/>
        <family val="0"/>
      </rPr>
      <t>-f</t>
    </r>
    <r>
      <rPr>
        <vertAlign val="subscript"/>
        <sz val="11"/>
        <rFont val="Verdana"/>
        <family val="0"/>
      </rPr>
      <t>o</t>
    </r>
    <r>
      <rPr>
        <sz val="11"/>
        <rFont val="Verdana"/>
        <family val="0"/>
      </rPr>
      <t>)</t>
    </r>
    <r>
      <rPr>
        <vertAlign val="superscript"/>
        <sz val="11"/>
        <rFont val="Verdana"/>
        <family val="0"/>
      </rPr>
      <t>2</t>
    </r>
    <r>
      <rPr>
        <sz val="11"/>
        <rFont val="Verdana"/>
        <family val="0"/>
      </rPr>
      <t>/f</t>
    </r>
    <r>
      <rPr>
        <vertAlign val="subscript"/>
        <sz val="11"/>
        <rFont val="Verdana"/>
        <family val="0"/>
      </rPr>
      <t>e</t>
    </r>
  </si>
  <si>
    <r>
      <t xml:space="preserve">Obtained </t>
    </r>
    <r>
      <rPr>
        <sz val="11"/>
        <rFont val="Symbol"/>
        <family val="0"/>
      </rPr>
      <t>c</t>
    </r>
    <r>
      <rPr>
        <vertAlign val="superscript"/>
        <sz val="11"/>
        <rFont val="Verdana"/>
        <family val="0"/>
      </rPr>
      <t>2</t>
    </r>
    <r>
      <rPr>
        <sz val="11"/>
        <rFont val="Verdana"/>
        <family val="0"/>
      </rPr>
      <t xml:space="preserve">(2) = </t>
    </r>
  </si>
  <si>
    <r>
      <t xml:space="preserve">Criterion </t>
    </r>
    <r>
      <rPr>
        <sz val="11"/>
        <rFont val="Symbol"/>
        <family val="0"/>
      </rPr>
      <t>c</t>
    </r>
    <r>
      <rPr>
        <vertAlign val="superscript"/>
        <sz val="11"/>
        <rFont val="Verdana"/>
        <family val="0"/>
      </rPr>
      <t>2</t>
    </r>
    <r>
      <rPr>
        <sz val="11"/>
        <rFont val="Verdana"/>
        <family val="0"/>
      </rPr>
      <t xml:space="preserve">(2) = </t>
    </r>
  </si>
  <si>
    <t>Reject H0</t>
  </si>
  <si>
    <r>
      <t xml:space="preserve">SS = (n x </t>
    </r>
    <r>
      <rPr>
        <sz val="10"/>
        <rFont val="Symbol"/>
        <family val="0"/>
      </rPr>
      <t>S</t>
    </r>
    <r>
      <rPr>
        <sz val="10"/>
        <rFont val="Verdana"/>
        <family val="0"/>
      </rPr>
      <t>(W</t>
    </r>
    <r>
      <rPr>
        <vertAlign val="subscript"/>
        <sz val="10"/>
        <rFont val="Verdana"/>
        <family val="0"/>
      </rPr>
      <t>j</t>
    </r>
    <r>
      <rPr>
        <sz val="10"/>
        <rFont val="Verdana"/>
        <family val="0"/>
      </rPr>
      <t>M</t>
    </r>
    <r>
      <rPr>
        <vertAlign val="subscript"/>
        <sz val="10"/>
        <rFont val="Verdana"/>
        <family val="0"/>
      </rPr>
      <t>j</t>
    </r>
    <r>
      <rPr>
        <sz val="10"/>
        <rFont val="Verdana"/>
        <family val="0"/>
      </rPr>
      <t>)</t>
    </r>
    <r>
      <rPr>
        <vertAlign val="superscript"/>
        <sz val="10"/>
        <rFont val="Verdana"/>
        <family val="0"/>
      </rPr>
      <t>2</t>
    </r>
    <r>
      <rPr>
        <sz val="10"/>
        <rFont val="Verdana"/>
        <family val="0"/>
      </rPr>
      <t>)/</t>
    </r>
    <r>
      <rPr>
        <sz val="10"/>
        <rFont val="Symbol"/>
        <family val="0"/>
      </rPr>
      <t>S</t>
    </r>
    <r>
      <rPr>
        <sz val="10"/>
        <rFont val="Verdana"/>
        <family val="0"/>
      </rPr>
      <t>(W</t>
    </r>
    <r>
      <rPr>
        <vertAlign val="subscript"/>
        <sz val="10"/>
        <rFont val="Verdana"/>
        <family val="0"/>
      </rPr>
      <t>j</t>
    </r>
    <r>
      <rPr>
        <vertAlign val="superscript"/>
        <sz val="10"/>
        <rFont val="Verdana"/>
        <family val="0"/>
      </rPr>
      <t>2</t>
    </r>
    <r>
      <rPr>
        <sz val="10"/>
        <rFont val="Verdana"/>
        <family val="0"/>
      </rPr>
      <t>)</t>
    </r>
  </si>
  <si>
    <r>
      <t xml:space="preserve">SS = (n x </t>
    </r>
    <r>
      <rPr>
        <sz val="10"/>
        <rFont val="Symbol"/>
        <family val="0"/>
      </rPr>
      <t>S</t>
    </r>
    <r>
      <rPr>
        <sz val="10"/>
        <rFont val="Verdana"/>
        <family val="0"/>
      </rPr>
      <t>(kW</t>
    </r>
    <r>
      <rPr>
        <vertAlign val="subscript"/>
        <sz val="10"/>
        <rFont val="Verdana"/>
        <family val="0"/>
      </rPr>
      <t>j</t>
    </r>
    <r>
      <rPr>
        <sz val="10"/>
        <rFont val="Verdana"/>
        <family val="0"/>
      </rPr>
      <t>M</t>
    </r>
    <r>
      <rPr>
        <vertAlign val="subscript"/>
        <sz val="10"/>
        <rFont val="Verdana"/>
        <family val="0"/>
      </rPr>
      <t>j</t>
    </r>
    <r>
      <rPr>
        <sz val="10"/>
        <rFont val="Verdana"/>
        <family val="0"/>
      </rPr>
      <t>)</t>
    </r>
    <r>
      <rPr>
        <vertAlign val="superscript"/>
        <sz val="10"/>
        <rFont val="Verdana"/>
        <family val="0"/>
      </rPr>
      <t>2</t>
    </r>
    <r>
      <rPr>
        <sz val="10"/>
        <rFont val="Verdana"/>
        <family val="0"/>
      </rPr>
      <t>)/</t>
    </r>
    <r>
      <rPr>
        <sz val="10"/>
        <rFont val="Symbol"/>
        <family val="0"/>
      </rPr>
      <t>S</t>
    </r>
    <r>
      <rPr>
        <sz val="10"/>
        <rFont val="Verdana"/>
        <family val="0"/>
      </rPr>
      <t>(kW</t>
    </r>
    <r>
      <rPr>
        <vertAlign val="subscript"/>
        <sz val="10"/>
        <rFont val="Verdana"/>
        <family val="0"/>
      </rPr>
      <t>j</t>
    </r>
    <r>
      <rPr>
        <vertAlign val="superscript"/>
        <sz val="10"/>
        <rFont val="Verdana"/>
        <family val="0"/>
      </rPr>
      <t>2</t>
    </r>
    <r>
      <rPr>
        <sz val="10"/>
        <rFont val="Verdana"/>
        <family val="0"/>
      </rPr>
      <t>)</t>
    </r>
  </si>
  <si>
    <t>std error</t>
  </si>
  <si>
    <t>criterion</t>
  </si>
  <si>
    <t>CI</t>
  </si>
  <si>
    <t>upper limit</t>
  </si>
  <si>
    <t>lower limit</t>
  </si>
  <si>
    <t>crit t (AKA crit z)</t>
  </si>
  <si>
    <t>Level 1</t>
  </si>
  <si>
    <t>Level 2</t>
  </si>
  <si>
    <t>Level 3</t>
  </si>
  <si>
    <t>Level 1</t>
  </si>
  <si>
    <t xml:space="preserve">SSR = </t>
  </si>
  <si>
    <t xml:space="preserve">SSI = </t>
  </si>
  <si>
    <t>Source</t>
  </si>
  <si>
    <t>df</t>
  </si>
  <si>
    <t>MS</t>
  </si>
  <si>
    <t xml:space="preserve">SSW = </t>
  </si>
  <si>
    <t>Between</t>
  </si>
  <si>
    <t>Col</t>
  </si>
  <si>
    <r>
      <t>est</t>
    </r>
    <r>
      <rPr>
        <vertAlign val="subscript"/>
        <sz val="10"/>
        <rFont val="Verdana"/>
        <family val="0"/>
      </rPr>
      <t>j</t>
    </r>
    <r>
      <rPr>
        <sz val="10"/>
        <rFont val="Symbol"/>
        <family val="0"/>
      </rPr>
      <t>s</t>
    </r>
    <r>
      <rPr>
        <vertAlign val="superscript"/>
        <sz val="10"/>
        <rFont val="Verdana"/>
        <family val="0"/>
      </rPr>
      <t>2</t>
    </r>
  </si>
  <si>
    <r>
      <t>est</t>
    </r>
    <r>
      <rPr>
        <sz val="10"/>
        <rFont val="Symbol"/>
        <family val="0"/>
      </rPr>
      <t>s</t>
    </r>
    <r>
      <rPr>
        <vertAlign val="subscript"/>
        <sz val="10"/>
        <rFont val="Verdana"/>
        <family val="0"/>
      </rPr>
      <t>j</t>
    </r>
    <r>
      <rPr>
        <vertAlign val="superscript"/>
        <sz val="10"/>
        <rFont val="Verdana"/>
        <family val="0"/>
      </rPr>
      <t>2</t>
    </r>
  </si>
  <si>
    <r>
      <t>a</t>
    </r>
    <r>
      <rPr>
        <vertAlign val="subscript"/>
        <sz val="10"/>
        <rFont val="Verdana"/>
        <family val="0"/>
      </rPr>
      <t>j</t>
    </r>
  </si>
  <si>
    <r>
      <t>est</t>
    </r>
    <r>
      <rPr>
        <sz val="10"/>
        <rFont val="Symbol"/>
        <family val="0"/>
      </rPr>
      <t>s</t>
    </r>
    <r>
      <rPr>
        <vertAlign val="subscript"/>
        <sz val="10"/>
        <rFont val="Verdana"/>
        <family val="0"/>
      </rPr>
      <t>M</t>
    </r>
    <r>
      <rPr>
        <sz val="10"/>
        <rFont val="Verdana"/>
        <family val="0"/>
      </rPr>
      <t xml:space="preserve"> = </t>
    </r>
  </si>
  <si>
    <t xml:space="preserve">crit t = </t>
  </si>
  <si>
    <t xml:space="preserve">CI = ± </t>
  </si>
  <si>
    <t>lower limit</t>
  </si>
  <si>
    <r>
      <t>M</t>
    </r>
    <r>
      <rPr>
        <vertAlign val="subscript"/>
        <sz val="10"/>
        <rFont val="Verdana"/>
        <family val="0"/>
      </rPr>
      <t>35</t>
    </r>
    <r>
      <rPr>
        <sz val="10"/>
        <rFont val="Verdana"/>
        <family val="0"/>
      </rPr>
      <t xml:space="preserve"> = </t>
    </r>
  </si>
  <si>
    <t xml:space="preserve">est sigmasq = </t>
  </si>
  <si>
    <t xml:space="preserve">est sigma(M1-M2) = </t>
  </si>
  <si>
    <t>1</t>
  </si>
  <si>
    <t>Office</t>
  </si>
  <si>
    <t>Wood (x1)</t>
  </si>
  <si>
    <t>Variances</t>
  </si>
  <si>
    <r>
      <t>r</t>
    </r>
    <r>
      <rPr>
        <vertAlign val="superscript"/>
        <sz val="10"/>
        <rFont val="Verdana"/>
        <family val="0"/>
      </rPr>
      <t>2</t>
    </r>
    <r>
      <rPr>
        <sz val="10"/>
        <rFont val="Verdana"/>
        <family val="0"/>
      </rPr>
      <t xml:space="preserve"> = </t>
    </r>
  </si>
  <si>
    <t>(using formula)</t>
  </si>
  <si>
    <t>Score</t>
  </si>
  <si>
    <t>Sums</t>
  </si>
  <si>
    <t>Sum of Sqs</t>
  </si>
  <si>
    <t>(using ratio of Y' variance to Y variance)</t>
  </si>
  <si>
    <t xml:space="preserve">r = </t>
  </si>
  <si>
    <t>see table</t>
  </si>
  <si>
    <t>f)</t>
  </si>
  <si>
    <t>Standard deviation in z is sqrt (1/(n-3) whch would involve 3-3=0 in the denominator.</t>
  </si>
  <si>
    <t>Table 3</t>
  </si>
  <si>
    <r>
      <t>n</t>
    </r>
    <r>
      <rPr>
        <vertAlign val="subscript"/>
        <sz val="10"/>
        <rFont val="Verdana"/>
        <family val="0"/>
      </rPr>
      <t>Cj</t>
    </r>
  </si>
  <si>
    <t>=T2/N</t>
  </si>
  <si>
    <r>
      <t>T</t>
    </r>
    <r>
      <rPr>
        <vertAlign val="superscript"/>
        <sz val="11"/>
        <rFont val="Times New Roman"/>
        <family val="0"/>
      </rPr>
      <t>2</t>
    </r>
    <r>
      <rPr>
        <sz val="11"/>
        <rFont val="Times New Roman"/>
        <family val="0"/>
      </rPr>
      <t xml:space="preserve"> =</t>
    </r>
  </si>
  <si>
    <t>n</t>
  </si>
  <si>
    <t>N</t>
  </si>
  <si>
    <t>c</t>
  </si>
  <si>
    <t>5</t>
  </si>
  <si>
    <t xml:space="preserve">r = </t>
  </si>
  <si>
    <r>
      <t>r</t>
    </r>
    <r>
      <rPr>
        <vertAlign val="superscript"/>
        <sz val="11"/>
        <rFont val="Verdana"/>
        <family val="0"/>
      </rPr>
      <t>2</t>
    </r>
    <r>
      <rPr>
        <sz val="11"/>
        <rFont val="Verdana"/>
        <family val="0"/>
      </rPr>
      <t xml:space="preserve"> = </t>
    </r>
  </si>
  <si>
    <t xml:space="preserve">b = </t>
  </si>
  <si>
    <t xml:space="preserve">a = </t>
  </si>
  <si>
    <t>a</t>
  </si>
  <si>
    <r>
      <t>s</t>
    </r>
    <r>
      <rPr>
        <vertAlign val="subscript"/>
        <sz val="11"/>
        <rFont val="Times"/>
        <family val="0"/>
      </rPr>
      <t>Y</t>
    </r>
    <r>
      <rPr>
        <sz val="11"/>
        <rFont val="Times"/>
        <family val="0"/>
      </rPr>
      <t xml:space="preserve"> = </t>
    </r>
  </si>
  <si>
    <r>
      <t>s</t>
    </r>
    <r>
      <rPr>
        <vertAlign val="superscript"/>
        <sz val="11"/>
        <rFont val="Symbol"/>
        <family val="0"/>
      </rPr>
      <t>2</t>
    </r>
    <r>
      <rPr>
        <vertAlign val="subscript"/>
        <sz val="11"/>
        <rFont val="Times"/>
        <family val="0"/>
      </rPr>
      <t>Y</t>
    </r>
    <r>
      <rPr>
        <sz val="11"/>
        <rFont val="Times"/>
        <family val="0"/>
      </rPr>
      <t xml:space="preserve"> = </t>
    </r>
  </si>
  <si>
    <r>
      <t>s</t>
    </r>
    <r>
      <rPr>
        <vertAlign val="superscript"/>
        <sz val="11"/>
        <rFont val="Symbol"/>
        <family val="0"/>
      </rPr>
      <t>2</t>
    </r>
    <r>
      <rPr>
        <vertAlign val="subscript"/>
        <sz val="11"/>
        <rFont val="Times"/>
        <family val="0"/>
      </rPr>
      <t>Y'</t>
    </r>
    <r>
      <rPr>
        <sz val="11"/>
        <rFont val="Times"/>
        <family val="0"/>
      </rPr>
      <t xml:space="preserve"> = </t>
    </r>
  </si>
  <si>
    <r>
      <t>s</t>
    </r>
    <r>
      <rPr>
        <vertAlign val="subscript"/>
        <sz val="11"/>
        <rFont val="Times"/>
        <family val="0"/>
      </rPr>
      <t>Y'</t>
    </r>
    <r>
      <rPr>
        <sz val="11"/>
        <rFont val="Times"/>
        <family val="0"/>
      </rPr>
      <t xml:space="preserve"> = </t>
    </r>
  </si>
  <si>
    <r>
      <t>z</t>
    </r>
    <r>
      <rPr>
        <vertAlign val="subscript"/>
        <sz val="11"/>
        <rFont val="Verdana"/>
        <family val="0"/>
      </rPr>
      <t>X</t>
    </r>
    <r>
      <rPr>
        <sz val="11"/>
        <rFont val="Verdana"/>
        <family val="0"/>
      </rPr>
      <t xml:space="preserve"> = </t>
    </r>
  </si>
  <si>
    <r>
      <t>z</t>
    </r>
    <r>
      <rPr>
        <vertAlign val="subscript"/>
        <sz val="11"/>
        <rFont val="Verdana"/>
        <family val="0"/>
      </rPr>
      <t>Y'</t>
    </r>
    <r>
      <rPr>
        <sz val="11"/>
        <rFont val="Verdana"/>
        <family val="0"/>
      </rPr>
      <t xml:space="preserve"> = </t>
    </r>
  </si>
  <si>
    <r>
      <t>m</t>
    </r>
    <r>
      <rPr>
        <vertAlign val="subscript"/>
        <sz val="11"/>
        <rFont val="Verdana"/>
        <family val="0"/>
      </rPr>
      <t>Y</t>
    </r>
    <r>
      <rPr>
        <sz val="11"/>
        <rFont val="Verdana"/>
        <family val="0"/>
      </rPr>
      <t xml:space="preserve"> = </t>
    </r>
  </si>
  <si>
    <t xml:space="preserve">Y' = </t>
  </si>
  <si>
    <t xml:space="preserve">a = </t>
  </si>
  <si>
    <t>N/A</t>
  </si>
  <si>
    <t>None</t>
  </si>
  <si>
    <t>CI = ±</t>
  </si>
  <si>
    <r>
      <t>s</t>
    </r>
    <r>
      <rPr>
        <vertAlign val="subscript"/>
        <sz val="10"/>
        <rFont val="Symbol"/>
        <family val="0"/>
      </rPr>
      <t>M</t>
    </r>
  </si>
  <si>
    <r>
      <t>df</t>
    </r>
    <r>
      <rPr>
        <vertAlign val="subscript"/>
        <sz val="11"/>
        <rFont val="Verdana"/>
        <family val="0"/>
      </rPr>
      <t>4</t>
    </r>
  </si>
  <si>
    <r>
      <t>df</t>
    </r>
    <r>
      <rPr>
        <vertAlign val="subscript"/>
        <sz val="11"/>
        <rFont val="Verdana"/>
        <family val="0"/>
      </rPr>
      <t>1</t>
    </r>
  </si>
  <si>
    <t>Totals</t>
  </si>
  <si>
    <t>Example:</t>
  </si>
  <si>
    <t>4</t>
  </si>
  <si>
    <t xml:space="preserve">J = </t>
  </si>
  <si>
    <t xml:space="preserve">K = </t>
  </si>
  <si>
    <t xml:space="preserve">n = </t>
  </si>
  <si>
    <r>
      <t>n</t>
    </r>
    <r>
      <rPr>
        <vertAlign val="subscript"/>
        <sz val="11"/>
        <rFont val="Verdana"/>
        <family val="0"/>
      </rPr>
      <t>C</t>
    </r>
    <r>
      <rPr>
        <sz val="11"/>
        <rFont val="Verdana"/>
        <family val="0"/>
      </rPr>
      <t xml:space="preserve"> = </t>
    </r>
  </si>
  <si>
    <t xml:space="preserve">N = </t>
  </si>
  <si>
    <r>
      <t>n</t>
    </r>
    <r>
      <rPr>
        <vertAlign val="subscript"/>
        <sz val="11"/>
        <rFont val="Verdana"/>
        <family val="0"/>
      </rPr>
      <t>R</t>
    </r>
    <r>
      <rPr>
        <sz val="11"/>
        <rFont val="Verdana"/>
        <family val="0"/>
      </rPr>
      <t xml:space="preserve"> = </t>
    </r>
  </si>
  <si>
    <t>Method I</t>
  </si>
  <si>
    <t>Method II</t>
  </si>
  <si>
    <t>Method III</t>
  </si>
  <si>
    <r>
      <t>T</t>
    </r>
    <r>
      <rPr>
        <vertAlign val="subscript"/>
        <sz val="11"/>
        <rFont val="Verdana"/>
        <family val="0"/>
      </rPr>
      <t>Cj</t>
    </r>
    <r>
      <rPr>
        <sz val="11"/>
        <rFont val="Verdana"/>
        <family val="0"/>
      </rPr>
      <t xml:space="preserve"> =</t>
    </r>
  </si>
  <si>
    <r>
      <t>M</t>
    </r>
    <r>
      <rPr>
        <vertAlign val="subscript"/>
        <sz val="11"/>
        <rFont val="Verdana"/>
        <family val="0"/>
      </rPr>
      <t>Cj</t>
    </r>
    <r>
      <rPr>
        <sz val="11"/>
        <rFont val="Verdana"/>
        <family val="0"/>
      </rPr>
      <t xml:space="preserve"> =</t>
    </r>
  </si>
  <si>
    <t>ANOVA (Universities as random effect)</t>
  </si>
  <si>
    <t>Cols</t>
  </si>
  <si>
    <t>RxC</t>
  </si>
  <si>
    <t>ANOVA (Universities as fixed effect)</t>
  </si>
  <si>
    <r>
      <t>SSS</t>
    </r>
    <r>
      <rPr>
        <sz val="11"/>
        <rFont val="Times New Roman"/>
        <family val="0"/>
      </rPr>
      <t>x</t>
    </r>
    <r>
      <rPr>
        <vertAlign val="superscript"/>
        <sz val="11"/>
        <rFont val="Times New Roman"/>
        <family val="0"/>
      </rPr>
      <t>2</t>
    </r>
    <r>
      <rPr>
        <sz val="8"/>
        <rFont val="Times New Roman"/>
        <family val="0"/>
      </rPr>
      <t>ijk</t>
    </r>
    <r>
      <rPr>
        <sz val="11"/>
        <rFont val="Times New Roman"/>
        <family val="0"/>
      </rPr>
      <t xml:space="preserve"> = </t>
    </r>
  </si>
  <si>
    <t xml:space="preserve">SST = </t>
  </si>
  <si>
    <r>
      <t>SSS</t>
    </r>
    <r>
      <rPr>
        <sz val="11"/>
        <rFont val="Times New Roman"/>
        <family val="0"/>
      </rPr>
      <t>x</t>
    </r>
    <r>
      <rPr>
        <vertAlign val="superscript"/>
        <sz val="11"/>
        <rFont val="Times New Roman"/>
        <family val="0"/>
      </rPr>
      <t>2</t>
    </r>
    <r>
      <rPr>
        <sz val="8"/>
        <rFont val="Times New Roman"/>
        <family val="0"/>
      </rPr>
      <t>ijk</t>
    </r>
    <r>
      <rPr>
        <sz val="11"/>
        <rFont val="Times New Roman"/>
        <family val="0"/>
      </rPr>
      <t xml:space="preserve"> -T</t>
    </r>
    <r>
      <rPr>
        <vertAlign val="superscript"/>
        <sz val="11"/>
        <rFont val="Times New Roman"/>
        <family val="0"/>
      </rPr>
      <t>2</t>
    </r>
    <r>
      <rPr>
        <sz val="11"/>
        <rFont val="Times New Roman"/>
        <family val="0"/>
      </rPr>
      <t xml:space="preserve">/N = </t>
    </r>
  </si>
  <si>
    <r>
      <t>relevent est</t>
    </r>
    <r>
      <rPr>
        <sz val="11"/>
        <rFont val="Symbol"/>
        <family val="0"/>
      </rPr>
      <t>s</t>
    </r>
    <r>
      <rPr>
        <vertAlign val="superscript"/>
        <sz val="11"/>
        <rFont val="Verdana"/>
        <family val="0"/>
      </rPr>
      <t>2</t>
    </r>
  </si>
  <si>
    <r>
      <t>relevant est</t>
    </r>
    <r>
      <rPr>
        <sz val="11"/>
        <rFont val="Symbol"/>
        <family val="0"/>
      </rPr>
      <t>s</t>
    </r>
    <r>
      <rPr>
        <vertAlign val="subscript"/>
        <sz val="11"/>
        <rFont val="Verdana"/>
        <family val="0"/>
      </rPr>
      <t>M</t>
    </r>
  </si>
  <si>
    <t>CI = ±</t>
  </si>
  <si>
    <t>criterion t</t>
  </si>
  <si>
    <t xml:space="preserve"> = relevant mean square (interaction)</t>
  </si>
  <si>
    <r>
      <t xml:space="preserve">Group 2: </t>
    </r>
    <r>
      <rPr>
        <sz val="10"/>
        <rFont val="Symbol"/>
        <family val="0"/>
      </rPr>
      <t>s</t>
    </r>
    <r>
      <rPr>
        <vertAlign val="superscript"/>
        <sz val="10"/>
        <rFont val="Verdana"/>
        <family val="0"/>
      </rPr>
      <t>2</t>
    </r>
    <r>
      <rPr>
        <vertAlign val="subscript"/>
        <sz val="10"/>
        <rFont val="Verdana"/>
        <family val="0"/>
      </rPr>
      <t>M</t>
    </r>
  </si>
  <si>
    <r>
      <t xml:space="preserve">Group 3: </t>
    </r>
    <r>
      <rPr>
        <sz val="10"/>
        <rFont val="Symbol"/>
        <family val="0"/>
      </rPr>
      <t>s</t>
    </r>
    <r>
      <rPr>
        <vertAlign val="superscript"/>
        <sz val="10"/>
        <rFont val="Verdana"/>
        <family val="0"/>
      </rPr>
      <t>2</t>
    </r>
    <r>
      <rPr>
        <vertAlign val="subscript"/>
        <sz val="10"/>
        <rFont val="Verdana"/>
        <family val="0"/>
      </rPr>
      <t>M</t>
    </r>
  </si>
  <si>
    <t>d</t>
  </si>
  <si>
    <t xml:space="preserve">dfT = </t>
  </si>
  <si>
    <t xml:space="preserve">SST best guess = </t>
  </si>
  <si>
    <t>3</t>
  </si>
  <si>
    <t>Age</t>
  </si>
  <si>
    <t>Means</t>
  </si>
  <si>
    <t>Means</t>
  </si>
  <si>
    <t xml:space="preserve"> = M</t>
  </si>
  <si>
    <t>Means</t>
  </si>
  <si>
    <t>Totals</t>
  </si>
  <si>
    <t>TCj's</t>
  </si>
  <si>
    <t xml:space="preserve"> = T</t>
  </si>
  <si>
    <r>
      <t>SS</t>
    </r>
    <r>
      <rPr>
        <sz val="11"/>
        <rFont val="Times New Roman"/>
        <family val="0"/>
      </rPr>
      <t>T</t>
    </r>
    <r>
      <rPr>
        <vertAlign val="superscript"/>
        <sz val="11"/>
        <rFont val="Times New Roman"/>
        <family val="0"/>
      </rPr>
      <t>2</t>
    </r>
    <r>
      <rPr>
        <sz val="8"/>
        <rFont val="Times New Roman"/>
        <family val="0"/>
      </rPr>
      <t>jk</t>
    </r>
    <r>
      <rPr>
        <sz val="11"/>
        <rFont val="Times New Roman"/>
        <family val="0"/>
      </rPr>
      <t xml:space="preserve"> = </t>
    </r>
  </si>
  <si>
    <r>
      <t>SSS</t>
    </r>
    <r>
      <rPr>
        <sz val="11"/>
        <rFont val="Times New Roman"/>
        <family val="0"/>
      </rPr>
      <t>x</t>
    </r>
    <r>
      <rPr>
        <vertAlign val="superscript"/>
        <sz val="11"/>
        <rFont val="Times New Roman"/>
        <family val="0"/>
      </rPr>
      <t>2</t>
    </r>
    <r>
      <rPr>
        <sz val="8"/>
        <rFont val="Times New Roman"/>
        <family val="0"/>
      </rPr>
      <t>ijk</t>
    </r>
    <r>
      <rPr>
        <sz val="11"/>
        <rFont val="Times New Roman"/>
        <family val="0"/>
      </rPr>
      <t xml:space="preserve"> =</t>
    </r>
  </si>
  <si>
    <t xml:space="preserve">MSB: </t>
  </si>
  <si>
    <t xml:space="preserve">MSW: </t>
  </si>
  <si>
    <t>Data-Generation parameters</t>
  </si>
  <si>
    <t>m</t>
  </si>
  <si>
    <t>s</t>
  </si>
  <si>
    <t>Data</t>
  </si>
  <si>
    <t>Office variance</t>
  </si>
  <si>
    <t>Use difference scores only; test mean difference score against a constant of zero</t>
  </si>
  <si>
    <t>Fail to reject H0</t>
  </si>
  <si>
    <t xml:space="preserve">SST = </t>
  </si>
  <si>
    <t xml:space="preserve">Percent SSB = </t>
  </si>
  <si>
    <t xml:space="preserve">Percent SSW = </t>
  </si>
  <si>
    <t>Source</t>
  </si>
  <si>
    <t>MS</t>
  </si>
  <si>
    <t>Crit F</t>
  </si>
  <si>
    <t>Within</t>
  </si>
  <si>
    <t>Sea level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</si>
</sst>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0.000"/>
    <numFmt numFmtId="170" formatCode="0.0000"/>
    <numFmt numFmtId="171" formatCode="m/d/yyyy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0.0"/>
    <numFmt numFmtId="179" formatCode="_(&quot;$&quot;* #,##0.000_);_(&quot;$&quot;* \(#,##0.000\);_(&quot;$&quot;* &quot;-&quot;??_);_(@_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_(* #,##0.0_);_(* \(#,##0.0\);_(* &quot;-&quot;??_);_(@_)"/>
    <numFmt numFmtId="183" formatCode="0.0%"/>
    <numFmt numFmtId="184" formatCode="#,##0.00"/>
    <numFmt numFmtId="185" formatCode="#,##0"/>
    <numFmt numFmtId="186" formatCode="#,##0.000"/>
    <numFmt numFmtId="187" formatCode="#,##0.0"/>
    <numFmt numFmtId="188" formatCode="#,##0.00"/>
    <numFmt numFmtId="189" formatCode="#,##0.000"/>
    <numFmt numFmtId="190" formatCode="#,##0.000"/>
    <numFmt numFmtId="191" formatCode="#,##0.000"/>
    <numFmt numFmtId="192" formatCode="#,##0.000"/>
    <numFmt numFmtId="193" formatCode="#,##0.000"/>
    <numFmt numFmtId="194" formatCode="#,##0"/>
  </numFmts>
  <fonts count="2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  <font>
      <sz val="10"/>
      <name val="Symbol"/>
      <family val="0"/>
    </font>
    <font>
      <sz val="11"/>
      <name val="Verdana"/>
      <family val="0"/>
    </font>
    <font>
      <sz val="11"/>
      <name val="Symbol"/>
      <family val="0"/>
    </font>
    <font>
      <u val="single"/>
      <sz val="11"/>
      <name val="Verdana"/>
      <family val="0"/>
    </font>
    <font>
      <vertAlign val="subscript"/>
      <sz val="10"/>
      <name val="Verdana"/>
      <family val="0"/>
    </font>
    <font>
      <vertAlign val="superscript"/>
      <sz val="10"/>
      <name val="Verdana"/>
      <family val="0"/>
    </font>
    <font>
      <u val="single"/>
      <sz val="10"/>
      <name val="Symbol"/>
      <family val="0"/>
    </font>
    <font>
      <u val="single"/>
      <sz val="10"/>
      <name val="Verdana"/>
      <family val="0"/>
    </font>
    <font>
      <sz val="11"/>
      <name val="Times New Roman"/>
      <family val="0"/>
    </font>
    <font>
      <vertAlign val="subscript"/>
      <sz val="10"/>
      <name val="Symbol"/>
      <family val="0"/>
    </font>
    <font>
      <sz val="8"/>
      <name val="Times New Roman"/>
      <family val="0"/>
    </font>
    <font>
      <vertAlign val="superscript"/>
      <sz val="11"/>
      <name val="Times New Roman"/>
      <family val="0"/>
    </font>
    <font>
      <vertAlign val="subscript"/>
      <sz val="11"/>
      <name val="Verdana"/>
      <family val="0"/>
    </font>
    <font>
      <vertAlign val="superscript"/>
      <sz val="11"/>
      <name val="Verdana"/>
      <family val="0"/>
    </font>
    <font>
      <vertAlign val="subscript"/>
      <sz val="10"/>
      <color indexed="8"/>
      <name val="Verdana"/>
      <family val="0"/>
    </font>
    <font>
      <vertAlign val="superscript"/>
      <sz val="10"/>
      <name val="Symbol"/>
      <family val="0"/>
    </font>
    <font>
      <vertAlign val="subscript"/>
      <sz val="11"/>
      <name val="Times"/>
      <family val="0"/>
    </font>
    <font>
      <sz val="11"/>
      <name val="Times"/>
      <family val="0"/>
    </font>
    <font>
      <vertAlign val="superscript"/>
      <sz val="11"/>
      <name val="Symbo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7">
    <xf numFmtId="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3" fontId="0" fillId="0" borderId="0">
      <alignment horizontal="right"/>
      <protection/>
    </xf>
    <xf numFmtId="9" fontId="0" fillId="0" borderId="0" applyFont="0" applyFill="0" applyBorder="0" applyAlignment="0" applyProtection="0"/>
  </cellStyleXfs>
  <cellXfs count="567">
    <xf numFmtId="4" fontId="0" fillId="0" borderId="0" xfId="0" applyAlignment="1">
      <alignment/>
    </xf>
    <xf numFmtId="3" fontId="0" fillId="0" borderId="0" xfId="0" applyNumberFormat="1" applyFont="1" applyBorder="1" applyAlignment="1" quotePrefix="1">
      <alignment horizontal="left"/>
    </xf>
    <xf numFmtId="173" fontId="0" fillId="0" borderId="0" xfId="0" applyNumberFormat="1" applyFont="1" applyBorder="1" applyAlignment="1">
      <alignment horizontal="right"/>
    </xf>
    <xf numFmtId="173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17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4" fontId="8" fillId="0" borderId="0" xfId="0" applyFont="1" applyBorder="1" applyAlignment="1" quotePrefix="1">
      <alignment horizontal="left"/>
    </xf>
    <xf numFmtId="3" fontId="8" fillId="0" borderId="0" xfId="0" applyNumberFormat="1" applyFont="1" applyBorder="1" applyAlignment="1">
      <alignment horizontal="right" vertical="top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 quotePrefix="1">
      <alignment horizontal="right"/>
    </xf>
    <xf numFmtId="4" fontId="8" fillId="0" borderId="0" xfId="0" applyFont="1" applyBorder="1" applyAlignment="1">
      <alignment horizontal="right"/>
    </xf>
    <xf numFmtId="4" fontId="8" fillId="0" borderId="0" xfId="0" applyFont="1" applyBorder="1" applyAlignment="1">
      <alignment horizontal="right" vertical="top"/>
    </xf>
    <xf numFmtId="173" fontId="8" fillId="0" borderId="0" xfId="0" applyNumberFormat="1" applyFont="1" applyBorder="1" applyAlignment="1">
      <alignment horizontal="right"/>
    </xf>
    <xf numFmtId="173" fontId="10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center"/>
    </xf>
    <xf numFmtId="4" fontId="8" fillId="0" borderId="0" xfId="0" applyFont="1" applyBorder="1" applyAlignment="1" quotePrefix="1">
      <alignment horizontal="right"/>
    </xf>
    <xf numFmtId="4" fontId="8" fillId="0" borderId="0" xfId="0" applyFont="1" applyBorder="1" applyAlignment="1">
      <alignment/>
    </xf>
    <xf numFmtId="3" fontId="8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 quotePrefix="1">
      <alignment/>
    </xf>
    <xf numFmtId="1" fontId="8" fillId="0" borderId="0" xfId="0" applyNumberFormat="1" applyFont="1" applyBorder="1" applyAlignment="1">
      <alignment/>
    </xf>
    <xf numFmtId="169" fontId="8" fillId="0" borderId="0" xfId="0" applyNumberFormat="1" applyFont="1" applyBorder="1" applyAlignment="1">
      <alignment/>
    </xf>
    <xf numFmtId="4" fontId="8" fillId="0" borderId="0" xfId="0" applyFont="1" applyBorder="1" applyAlignment="1">
      <alignment vertical="top"/>
    </xf>
    <xf numFmtId="4" fontId="8" fillId="0" borderId="0" xfId="0" applyNumberFormat="1" applyFont="1" applyFill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8" fillId="0" borderId="0" xfId="0" applyNumberFormat="1" applyFont="1" applyBorder="1" applyAlignment="1">
      <alignment/>
    </xf>
    <xf numFmtId="173" fontId="8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horizontal="left" vertical="top"/>
    </xf>
    <xf numFmtId="3" fontId="8" fillId="0" borderId="0" xfId="0" applyNumberFormat="1" applyFont="1" applyBorder="1" applyAlignment="1" quotePrefix="1">
      <alignment horizontal="left" vertical="top"/>
    </xf>
    <xf numFmtId="3" fontId="8" fillId="0" borderId="0" xfId="0" applyNumberFormat="1" applyFont="1" applyBorder="1" applyAlignment="1">
      <alignment horizontal="left"/>
    </xf>
    <xf numFmtId="173" fontId="8" fillId="0" borderId="0" xfId="0" applyNumberFormat="1" applyFont="1" applyBorder="1" applyAlignment="1">
      <alignment horizontal="left" vertical="top"/>
    </xf>
    <xf numFmtId="173" fontId="8" fillId="0" borderId="0" xfId="0" applyNumberFormat="1" applyFont="1" applyBorder="1" applyAlignment="1">
      <alignment horizontal="right" vertical="top"/>
    </xf>
    <xf numFmtId="4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 horizontal="center"/>
    </xf>
    <xf numFmtId="173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center"/>
    </xf>
    <xf numFmtId="173" fontId="10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17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vertical="center"/>
    </xf>
    <xf numFmtId="4" fontId="8" fillId="0" borderId="0" xfId="0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4" fontId="8" fillId="0" borderId="0" xfId="0" applyFont="1" applyBorder="1" applyAlignment="1">
      <alignment horizontal="right" vertical="center"/>
    </xf>
    <xf numFmtId="173" fontId="8" fillId="0" borderId="0" xfId="0" applyNumberFormat="1" applyFont="1" applyBorder="1" applyAlignment="1">
      <alignment horizontal="right" vertical="center"/>
    </xf>
    <xf numFmtId="4" fontId="8" fillId="0" borderId="0" xfId="0" applyFont="1" applyBorder="1" applyAlignment="1" quotePrefix="1">
      <alignment horizontal="right" vertical="center"/>
    </xf>
    <xf numFmtId="4" fontId="8" fillId="0" borderId="0" xfId="0" applyFont="1" applyBorder="1" applyAlignment="1" quotePrefix="1">
      <alignment horizontal="left" vertical="center"/>
    </xf>
    <xf numFmtId="4" fontId="8" fillId="0" borderId="0" xfId="0" applyFont="1" applyBorder="1" applyAlignment="1">
      <alignment horizontal="left" vertical="center"/>
    </xf>
    <xf numFmtId="173" fontId="8" fillId="0" borderId="0" xfId="0" applyNumberFormat="1" applyFont="1" applyBorder="1" applyAlignment="1" quotePrefix="1">
      <alignment horizontal="center" vertical="center"/>
    </xf>
    <xf numFmtId="4" fontId="8" fillId="0" borderId="0" xfId="0" applyFont="1" applyBorder="1" applyAlignment="1">
      <alignment horizontal="center" wrapText="1"/>
    </xf>
    <xf numFmtId="173" fontId="8" fillId="0" borderId="0" xfId="0" applyNumberFormat="1" applyFont="1" applyBorder="1" applyAlignment="1">
      <alignment vertical="center"/>
    </xf>
    <xf numFmtId="4" fontId="8" fillId="0" borderId="0" xfId="0" applyFont="1" applyBorder="1" applyAlignment="1" quotePrefix="1">
      <alignment horizontal="center" vertical="center"/>
    </xf>
    <xf numFmtId="173" fontId="8" fillId="0" borderId="0" xfId="0" applyNumberFormat="1" applyFont="1" applyBorder="1" applyAlignment="1">
      <alignment horizontal="center" vertical="center"/>
    </xf>
    <xf numFmtId="173" fontId="8" fillId="0" borderId="0" xfId="0" applyNumberFormat="1" applyFont="1" applyBorder="1" applyAlignment="1">
      <alignment horizontal="left" vertical="center"/>
    </xf>
    <xf numFmtId="173" fontId="8" fillId="0" borderId="0" xfId="0" applyNumberFormat="1" applyFont="1" applyBorder="1" applyAlignment="1">
      <alignment horizontal="center"/>
    </xf>
    <xf numFmtId="4" fontId="8" fillId="0" borderId="0" xfId="0" applyFont="1" applyBorder="1" applyAlignment="1">
      <alignment horizontal="center"/>
    </xf>
    <xf numFmtId="4" fontId="8" fillId="0" borderId="0" xfId="0" applyFont="1" applyBorder="1" applyAlignment="1">
      <alignment horizontal="center" vertical="center"/>
    </xf>
    <xf numFmtId="4" fontId="8" fillId="0" borderId="0" xfId="0" applyFont="1" applyBorder="1" applyAlignment="1">
      <alignment horizontal="center" vertical="top" wrapText="1"/>
    </xf>
    <xf numFmtId="3" fontId="8" fillId="0" borderId="0" xfId="0" applyNumberFormat="1" applyFont="1" applyBorder="1" applyAlignment="1">
      <alignment horizontal="center" vertical="top" wrapText="1"/>
    </xf>
    <xf numFmtId="3" fontId="0" fillId="0" borderId="0" xfId="0" applyNumberFormat="1" applyFont="1" applyBorder="1" applyAlignment="1" quotePrefix="1">
      <alignment horizontal="right"/>
    </xf>
    <xf numFmtId="3" fontId="0" fillId="0" borderId="1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73" fontId="0" fillId="0" borderId="1" xfId="0" applyNumberFormat="1" applyFont="1" applyBorder="1" applyAlignment="1">
      <alignment horizontal="right"/>
    </xf>
    <xf numFmtId="172" fontId="0" fillId="0" borderId="1" xfId="0" applyNumberFormat="1" applyFont="1" applyBorder="1" applyAlignment="1">
      <alignment horizontal="center"/>
    </xf>
    <xf numFmtId="4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center"/>
    </xf>
    <xf numFmtId="169" fontId="0" fillId="0" borderId="0" xfId="0" applyNumberFormat="1" applyFont="1" applyBorder="1" applyAlignment="1">
      <alignment horizontal="center"/>
    </xf>
    <xf numFmtId="176" fontId="0" fillId="0" borderId="0" xfId="0" applyNumberFormat="1" applyFont="1" applyBorder="1" applyAlignment="1">
      <alignment horizontal="right"/>
    </xf>
    <xf numFmtId="4" fontId="0" fillId="0" borderId="0" xfId="0" applyFont="1" applyBorder="1" applyAlignment="1">
      <alignment horizontal="right"/>
    </xf>
    <xf numFmtId="4" fontId="0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right"/>
    </xf>
    <xf numFmtId="173" fontId="0" fillId="0" borderId="3" xfId="0" applyNumberFormat="1" applyFont="1" applyBorder="1" applyAlignment="1">
      <alignment horizontal="left"/>
    </xf>
    <xf numFmtId="3" fontId="0" fillId="0" borderId="4" xfId="0" applyNumberFormat="1" applyFont="1" applyBorder="1" applyAlignment="1">
      <alignment horizontal="right"/>
    </xf>
    <xf numFmtId="173" fontId="0" fillId="0" borderId="5" xfId="0" applyNumberFormat="1" applyFont="1" applyBorder="1" applyAlignment="1">
      <alignment horizontal="left"/>
    </xf>
    <xf numFmtId="3" fontId="0" fillId="0" borderId="6" xfId="0" applyNumberFormat="1" applyFont="1" applyBorder="1" applyAlignment="1">
      <alignment horizontal="right"/>
    </xf>
    <xf numFmtId="173" fontId="0" fillId="0" borderId="7" xfId="0" applyNumberFormat="1" applyFont="1" applyBorder="1" applyAlignment="1">
      <alignment horizontal="left"/>
    </xf>
    <xf numFmtId="173" fontId="0" fillId="0" borderId="8" xfId="0" applyNumberFormat="1" applyFont="1" applyBorder="1" applyAlignment="1">
      <alignment horizontal="right"/>
    </xf>
    <xf numFmtId="173" fontId="0" fillId="0" borderId="9" xfId="0" applyNumberFormat="1" applyFont="1" applyBorder="1" applyAlignment="1">
      <alignment horizontal="left"/>
    </xf>
    <xf numFmtId="173" fontId="0" fillId="0" borderId="10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left"/>
    </xf>
    <xf numFmtId="3" fontId="7" fillId="0" borderId="8" xfId="0" applyNumberFormat="1" applyFont="1" applyBorder="1" applyAlignment="1">
      <alignment horizontal="right"/>
    </xf>
    <xf numFmtId="4" fontId="0" fillId="0" borderId="5" xfId="0" applyNumberFormat="1" applyFont="1" applyBorder="1" applyAlignment="1">
      <alignment horizontal="center"/>
    </xf>
    <xf numFmtId="173" fontId="0" fillId="0" borderId="11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center"/>
    </xf>
    <xf numFmtId="172" fontId="0" fillId="0" borderId="15" xfId="0" applyNumberFormat="1" applyFont="1" applyBorder="1" applyAlignment="1">
      <alignment horizontal="center"/>
    </xf>
    <xf numFmtId="172" fontId="0" fillId="0" borderId="5" xfId="0" applyNumberFormat="1" applyFont="1" applyBorder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16" xfId="0" applyNumberFormat="1" applyFont="1" applyBorder="1" applyAlignment="1">
      <alignment horizontal="right"/>
    </xf>
    <xf numFmtId="173" fontId="0" fillId="0" borderId="16" xfId="0" applyNumberFormat="1" applyFont="1" applyBorder="1" applyAlignment="1">
      <alignment horizontal="left"/>
    </xf>
    <xf numFmtId="173" fontId="0" fillId="0" borderId="16" xfId="0" applyNumberFormat="1" applyFont="1" applyBorder="1" applyAlignment="1">
      <alignment horizontal="right"/>
    </xf>
    <xf numFmtId="174" fontId="0" fillId="0" borderId="0" xfId="0" applyNumberFormat="1" applyFont="1" applyBorder="1" applyAlignment="1">
      <alignment horizontal="center"/>
    </xf>
    <xf numFmtId="4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4" fontId="0" fillId="0" borderId="0" xfId="0" applyFont="1" applyBorder="1" applyAlignment="1">
      <alignment vertical="center" wrapText="1"/>
    </xf>
    <xf numFmtId="173" fontId="0" fillId="0" borderId="0" xfId="0" applyNumberFormat="1" applyFont="1" applyBorder="1" applyAlignment="1">
      <alignment vertical="center"/>
    </xf>
    <xf numFmtId="4" fontId="0" fillId="0" borderId="0" xfId="0" applyFont="1" applyBorder="1" applyAlignment="1">
      <alignment horizontal="right" vertical="center"/>
    </xf>
    <xf numFmtId="3" fontId="0" fillId="0" borderId="0" xfId="0" applyNumberFormat="1" applyFont="1" applyBorder="1" applyAlignment="1" quotePrefix="1">
      <alignment horizontal="left" vertical="center"/>
    </xf>
    <xf numFmtId="3" fontId="0" fillId="0" borderId="2" xfId="0" applyNumberFormat="1" applyFont="1" applyBorder="1" applyAlignment="1">
      <alignment horizontal="left"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13" fillId="0" borderId="8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13" fillId="0" borderId="9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 quotePrefix="1">
      <alignment horizontal="right" vertical="center"/>
    </xf>
    <xf numFmtId="172" fontId="0" fillId="0" borderId="4" xfId="0" applyNumberFormat="1" applyFont="1" applyBorder="1" applyAlignment="1">
      <alignment horizontal="center" vertical="center"/>
    </xf>
    <xf numFmtId="172" fontId="0" fillId="0" borderId="15" xfId="0" applyNumberFormat="1" applyFont="1" applyBorder="1" applyAlignment="1">
      <alignment horizontal="center" vertical="center"/>
    </xf>
    <xf numFmtId="172" fontId="0" fillId="0" borderId="5" xfId="0" applyNumberFormat="1" applyFont="1" applyBorder="1" applyAlignment="1">
      <alignment horizontal="center" vertical="center"/>
    </xf>
    <xf numFmtId="172" fontId="7" fillId="0" borderId="0" xfId="0" applyNumberFormat="1" applyFont="1" applyBorder="1" applyAlignment="1">
      <alignment horizontal="center" vertical="center"/>
    </xf>
    <xf numFmtId="172" fontId="7" fillId="0" borderId="0" xfId="0" applyNumberFormat="1" applyFont="1" applyBorder="1" applyAlignment="1">
      <alignment horizontal="right" vertical="center"/>
    </xf>
    <xf numFmtId="172" fontId="0" fillId="0" borderId="0" xfId="0" applyNumberFormat="1" applyFont="1" applyBorder="1" applyAlignment="1">
      <alignment horizontal="center" vertical="center"/>
    </xf>
    <xf numFmtId="4" fontId="0" fillId="0" borderId="0" xfId="0" applyFont="1" applyBorder="1" applyAlignment="1" quotePrefix="1">
      <alignment horizontal="left" vertical="center"/>
    </xf>
    <xf numFmtId="172" fontId="0" fillId="0" borderId="0" xfId="0" applyNumberFormat="1" applyFont="1" applyBorder="1" applyAlignment="1">
      <alignment horizontal="center" vertical="center" wrapText="1"/>
    </xf>
    <xf numFmtId="172" fontId="0" fillId="0" borderId="1" xfId="0" applyNumberFormat="1" applyFont="1" applyBorder="1" applyAlignment="1">
      <alignment vertical="center" wrapText="1"/>
    </xf>
    <xf numFmtId="172" fontId="0" fillId="0" borderId="1" xfId="0" applyNumberFormat="1" applyFont="1" applyBorder="1" applyAlignment="1">
      <alignment horizontal="center" vertical="center" wrapText="1"/>
    </xf>
    <xf numFmtId="4" fontId="0" fillId="0" borderId="0" xfId="0" applyFont="1" applyBorder="1" applyAlignment="1">
      <alignment horizontal="right" vertical="center" wrapText="1"/>
    </xf>
    <xf numFmtId="4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173" fontId="0" fillId="0" borderId="0" xfId="0" applyNumberFormat="1" applyFont="1" applyBorder="1" applyAlignment="1">
      <alignment horizontal="center" vertical="center"/>
    </xf>
    <xf numFmtId="173" fontId="0" fillId="0" borderId="0" xfId="0" applyNumberFormat="1" applyFont="1" applyBorder="1" applyAlignment="1">
      <alignment horizontal="left" vertical="center"/>
    </xf>
    <xf numFmtId="173" fontId="0" fillId="0" borderId="0" xfId="0" applyNumberFormat="1" applyFont="1" applyBorder="1" applyAlignment="1">
      <alignment horizontal="right" vertical="center"/>
    </xf>
    <xf numFmtId="4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left" vertical="center"/>
    </xf>
    <xf numFmtId="4" fontId="0" fillId="0" borderId="0" xfId="0" applyFont="1" applyBorder="1" applyAlignment="1">
      <alignment horizontal="left" vertical="center"/>
    </xf>
    <xf numFmtId="4" fontId="0" fillId="0" borderId="0" xfId="0" applyNumberFormat="1" applyFont="1" applyBorder="1" applyAlignment="1">
      <alignment vertical="center" wrapText="1"/>
    </xf>
    <xf numFmtId="3" fontId="0" fillId="0" borderId="0" xfId="0" applyNumberFormat="1" applyFont="1" applyBorder="1" applyAlignment="1">
      <alignment vertical="center" wrapText="1"/>
    </xf>
    <xf numFmtId="4" fontId="7" fillId="0" borderId="0" xfId="0" applyFont="1" applyBorder="1" applyAlignment="1">
      <alignment horizontal="right" vertical="center" wrapText="1"/>
    </xf>
    <xf numFmtId="9" fontId="0" fillId="0" borderId="0" xfId="26" applyFont="1" applyBorder="1" applyAlignment="1">
      <alignment horizontal="left" vertical="center"/>
    </xf>
    <xf numFmtId="4" fontId="0" fillId="0" borderId="0" xfId="0" applyNumberFormat="1" applyFont="1" applyBorder="1" applyAlignment="1">
      <alignment horizontal="left" vertical="center"/>
    </xf>
    <xf numFmtId="4" fontId="0" fillId="0" borderId="1" xfId="0" applyFont="1" applyBorder="1" applyAlignment="1">
      <alignment horizontal="center" vertical="center"/>
    </xf>
    <xf numFmtId="4" fontId="0" fillId="0" borderId="1" xfId="0" applyFont="1" applyBorder="1" applyAlignment="1">
      <alignment horizontal="left" vertical="center"/>
    </xf>
    <xf numFmtId="4" fontId="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/>
    </xf>
    <xf numFmtId="4" fontId="0" fillId="0" borderId="1" xfId="0" applyFont="1" applyBorder="1" applyAlignment="1">
      <alignment horizontal="center" vertical="top" wrapText="1"/>
    </xf>
    <xf numFmtId="4" fontId="0" fillId="0" borderId="17" xfId="0" applyFont="1" applyBorder="1" applyAlignment="1">
      <alignment horizontal="center" vertical="top" wrapText="1"/>
    </xf>
    <xf numFmtId="4" fontId="15" fillId="0" borderId="0" xfId="0" applyFont="1" applyAlignment="1">
      <alignment/>
    </xf>
    <xf numFmtId="173" fontId="7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center" vertical="center"/>
    </xf>
    <xf numFmtId="173" fontId="0" fillId="0" borderId="1" xfId="0" applyNumberFormat="1" applyFont="1" applyBorder="1" applyAlignment="1">
      <alignment horizontal="center" vertical="center"/>
    </xf>
    <xf numFmtId="4" fontId="0" fillId="0" borderId="0" xfId="0" applyFont="1" applyAlignment="1">
      <alignment horizontal="center" vertical="top" wrapText="1"/>
    </xf>
    <xf numFmtId="4" fontId="0" fillId="0" borderId="18" xfId="0" applyFont="1" applyBorder="1" applyAlignment="1">
      <alignment horizontal="right" vertical="top" wrapText="1"/>
    </xf>
    <xf numFmtId="4" fontId="0" fillId="0" borderId="17" xfId="0" applyFont="1" applyBorder="1" applyAlignment="1">
      <alignment horizontal="right" vertical="top" wrapText="1"/>
    </xf>
    <xf numFmtId="173" fontId="0" fillId="0" borderId="18" xfId="0" applyNumberFormat="1" applyFont="1" applyBorder="1" applyAlignment="1">
      <alignment horizontal="center" vertical="top" wrapText="1"/>
    </xf>
    <xf numFmtId="3" fontId="0" fillId="0" borderId="18" xfId="0" applyNumberFormat="1" applyFont="1" applyBorder="1" applyAlignment="1">
      <alignment horizontal="center" vertical="top" wrapText="1"/>
    </xf>
    <xf numFmtId="3" fontId="0" fillId="0" borderId="0" xfId="0" applyNumberFormat="1" applyFont="1" applyBorder="1" applyAlignment="1">
      <alignment horizontal="center" vertical="top" wrapText="1"/>
    </xf>
    <xf numFmtId="3" fontId="0" fillId="0" borderId="17" xfId="0" applyNumberFormat="1" applyFont="1" applyBorder="1" applyAlignment="1">
      <alignment horizontal="center" vertical="top" wrapText="1"/>
    </xf>
    <xf numFmtId="3" fontId="0" fillId="0" borderId="1" xfId="0" applyNumberFormat="1" applyFont="1" applyBorder="1" applyAlignment="1">
      <alignment horizontal="center" vertical="top" wrapText="1"/>
    </xf>
    <xf numFmtId="3" fontId="0" fillId="0" borderId="18" xfId="0" applyNumberFormat="1" applyFont="1" applyBorder="1" applyAlignment="1">
      <alignment horizontal="center" vertical="top" wrapText="1"/>
    </xf>
    <xf numFmtId="3" fontId="0" fillId="0" borderId="17" xfId="0" applyNumberFormat="1" applyFont="1" applyBorder="1" applyAlignment="1">
      <alignment horizontal="center" vertical="top" wrapText="1"/>
    </xf>
    <xf numFmtId="4" fontId="9" fillId="0" borderId="0" xfId="0" applyFont="1" applyAlignment="1">
      <alignment horizontal="right"/>
    </xf>
    <xf numFmtId="4" fontId="15" fillId="0" borderId="0" xfId="0" applyFont="1" applyAlignment="1">
      <alignment horizontal="right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9" fontId="0" fillId="0" borderId="0" xfId="26" applyFont="1" applyBorder="1" applyAlignment="1">
      <alignment horizontal="left" vertical="center"/>
    </xf>
    <xf numFmtId="4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top" wrapText="1"/>
    </xf>
    <xf numFmtId="4" fontId="0" fillId="0" borderId="1" xfId="0" applyNumberFormat="1" applyFont="1" applyBorder="1" applyAlignment="1">
      <alignment horizontal="center" vertical="top" wrapText="1"/>
    </xf>
    <xf numFmtId="173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4" fontId="0" fillId="0" borderId="1" xfId="0" applyFont="1" applyBorder="1" applyAlignment="1">
      <alignment horizontal="right" vertical="center"/>
    </xf>
    <xf numFmtId="173" fontId="0" fillId="0" borderId="0" xfId="0" applyNumberFormat="1" applyFont="1" applyBorder="1" applyAlignment="1">
      <alignment horizontal="left" vertical="center"/>
    </xf>
    <xf numFmtId="173" fontId="0" fillId="0" borderId="0" xfId="0" applyNumberFormat="1" applyFont="1" applyBorder="1" applyAlignment="1">
      <alignment horizontal="center" vertical="center"/>
    </xf>
    <xf numFmtId="173" fontId="0" fillId="0" borderId="0" xfId="0" applyNumberFormat="1" applyFont="1" applyBorder="1" applyAlignment="1">
      <alignment horizontal="center" vertical="center" wrapText="1"/>
    </xf>
    <xf numFmtId="173" fontId="0" fillId="0" borderId="0" xfId="0" applyNumberFormat="1" applyFont="1" applyBorder="1" applyAlignment="1">
      <alignment vertical="center" wrapText="1"/>
    </xf>
    <xf numFmtId="4" fontId="0" fillId="0" borderId="17" xfId="0" applyFont="1" applyBorder="1" applyAlignment="1">
      <alignment horizontal="left" vertical="top"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Font="1" applyBorder="1" applyAlignment="1">
      <alignment horizontal="left" vertical="center"/>
    </xf>
    <xf numFmtId="173" fontId="0" fillId="0" borderId="6" xfId="0" applyNumberFormat="1" applyFont="1" applyBorder="1" applyAlignment="1">
      <alignment vertical="center" wrapText="1"/>
    </xf>
    <xf numFmtId="4" fontId="0" fillId="0" borderId="7" xfId="0" applyFont="1" applyBorder="1" applyAlignment="1">
      <alignment vertical="center"/>
    </xf>
    <xf numFmtId="3" fontId="0" fillId="0" borderId="6" xfId="0" applyNumberFormat="1" applyFont="1" applyBorder="1" applyAlignment="1">
      <alignment vertical="center" wrapText="1"/>
    </xf>
    <xf numFmtId="173" fontId="0" fillId="0" borderId="6" xfId="0" applyNumberFormat="1" applyFont="1" applyBorder="1" applyAlignment="1">
      <alignment horizontal="right" vertical="center" wrapText="1"/>
    </xf>
    <xf numFmtId="173" fontId="0" fillId="0" borderId="7" xfId="0" applyNumberFormat="1" applyFont="1" applyBorder="1" applyAlignment="1">
      <alignment horizontal="left" vertical="center"/>
    </xf>
    <xf numFmtId="172" fontId="0" fillId="0" borderId="0" xfId="0" applyNumberFormat="1" applyFont="1" applyBorder="1" applyAlignment="1">
      <alignment vertical="center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 vertical="center" wrapText="1"/>
    </xf>
    <xf numFmtId="173" fontId="0" fillId="0" borderId="6" xfId="0" applyNumberFormat="1" applyFont="1" applyBorder="1" applyAlignment="1">
      <alignment horizontal="center" vertical="center" wrapText="1"/>
    </xf>
    <xf numFmtId="173" fontId="0" fillId="0" borderId="19" xfId="0" applyNumberFormat="1" applyFont="1" applyBorder="1" applyAlignment="1">
      <alignment horizontal="center" vertical="center" wrapText="1"/>
    </xf>
    <xf numFmtId="173" fontId="0" fillId="0" borderId="7" xfId="0" applyNumberFormat="1" applyFont="1" applyBorder="1" applyAlignment="1">
      <alignment horizontal="center" vertical="center" wrapText="1"/>
    </xf>
    <xf numFmtId="4" fontId="0" fillId="0" borderId="2" xfId="0" applyFont="1" applyBorder="1" applyAlignment="1">
      <alignment horizontal="right" vertical="center" wrapText="1"/>
    </xf>
    <xf numFmtId="173" fontId="0" fillId="0" borderId="13" xfId="0" applyNumberFormat="1" applyFont="1" applyBorder="1" applyAlignment="1">
      <alignment horizontal="center" vertical="center"/>
    </xf>
    <xf numFmtId="173" fontId="0" fillId="0" borderId="3" xfId="0" applyNumberFormat="1" applyFont="1" applyBorder="1" applyAlignment="1">
      <alignment horizontal="center" vertical="center"/>
    </xf>
    <xf numFmtId="4" fontId="0" fillId="0" borderId="8" xfId="0" applyFont="1" applyBorder="1" applyAlignment="1">
      <alignment horizontal="right" vertical="center" wrapText="1"/>
    </xf>
    <xf numFmtId="173" fontId="0" fillId="0" borderId="9" xfId="0" applyNumberFormat="1" applyFont="1" applyBorder="1" applyAlignment="1">
      <alignment horizontal="center" vertical="center"/>
    </xf>
    <xf numFmtId="4" fontId="0" fillId="0" borderId="4" xfId="0" applyFont="1" applyBorder="1" applyAlignment="1">
      <alignment horizontal="right" vertical="center" wrapText="1"/>
    </xf>
    <xf numFmtId="173" fontId="0" fillId="0" borderId="15" xfId="0" applyNumberFormat="1" applyFont="1" applyBorder="1" applyAlignment="1">
      <alignment horizontal="left" vertical="center"/>
    </xf>
    <xf numFmtId="4" fontId="0" fillId="0" borderId="15" xfId="0" applyNumberFormat="1" applyFont="1" applyBorder="1" applyAlignment="1">
      <alignment horizontal="left" vertical="center"/>
    </xf>
    <xf numFmtId="4" fontId="0" fillId="0" borderId="5" xfId="0" applyNumberFormat="1" applyFont="1" applyBorder="1" applyAlignment="1">
      <alignment horizontal="left" vertical="center"/>
    </xf>
    <xf numFmtId="173" fontId="0" fillId="0" borderId="2" xfId="0" applyNumberFormat="1" applyFont="1" applyBorder="1" applyAlignment="1">
      <alignment vertical="center" wrapText="1"/>
    </xf>
    <xf numFmtId="4" fontId="0" fillId="0" borderId="3" xfId="0" applyFont="1" applyBorder="1" applyAlignment="1">
      <alignment vertical="center"/>
    </xf>
    <xf numFmtId="3" fontId="0" fillId="0" borderId="8" xfId="0" applyNumberFormat="1" applyFont="1" applyBorder="1" applyAlignment="1">
      <alignment vertical="center" wrapText="1"/>
    </xf>
    <xf numFmtId="4" fontId="0" fillId="0" borderId="9" xfId="0" applyFont="1" applyBorder="1" applyAlignment="1">
      <alignment vertical="center"/>
    </xf>
    <xf numFmtId="173" fontId="0" fillId="0" borderId="4" xfId="0" applyNumberFormat="1" applyFont="1" applyBorder="1" applyAlignment="1">
      <alignment vertical="center" wrapText="1"/>
    </xf>
    <xf numFmtId="4" fontId="0" fillId="0" borderId="5" xfId="0" applyFont="1" applyBorder="1" applyAlignment="1">
      <alignment vertical="center"/>
    </xf>
    <xf numFmtId="173" fontId="0" fillId="0" borderId="6" xfId="0" applyNumberFormat="1" applyFont="1" applyBorder="1" applyAlignment="1">
      <alignment horizontal="center" vertical="center"/>
    </xf>
    <xf numFmtId="173" fontId="0" fillId="0" borderId="19" xfId="0" applyNumberFormat="1" applyFont="1" applyBorder="1" applyAlignment="1">
      <alignment horizontal="center" vertical="center"/>
    </xf>
    <xf numFmtId="173" fontId="0" fillId="0" borderId="7" xfId="0" applyNumberFormat="1" applyFont="1" applyBorder="1" applyAlignment="1">
      <alignment horizontal="center" vertical="center"/>
    </xf>
    <xf numFmtId="173" fontId="0" fillId="0" borderId="2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horizontal="left" vertical="center"/>
    </xf>
    <xf numFmtId="4" fontId="0" fillId="0" borderId="13" xfId="0" applyFont="1" applyBorder="1" applyAlignment="1">
      <alignment vertical="center"/>
    </xf>
    <xf numFmtId="173" fontId="0" fillId="0" borderId="20" xfId="0" applyNumberFormat="1" applyFont="1" applyBorder="1" applyAlignment="1">
      <alignment vertical="center"/>
    </xf>
    <xf numFmtId="4" fontId="0" fillId="0" borderId="14" xfId="0" applyFont="1" applyBorder="1" applyAlignment="1">
      <alignment horizontal="right" vertical="center"/>
    </xf>
    <xf numFmtId="173" fontId="0" fillId="0" borderId="8" xfId="0" applyNumberFormat="1" applyFont="1" applyBorder="1" applyAlignment="1">
      <alignment vertical="center"/>
    </xf>
    <xf numFmtId="4" fontId="0" fillId="0" borderId="9" xfId="0" applyFont="1" applyBorder="1" applyAlignment="1">
      <alignment horizontal="right" vertical="center"/>
    </xf>
    <xf numFmtId="173" fontId="0" fillId="0" borderId="4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horizontal="right" vertical="center"/>
    </xf>
    <xf numFmtId="173" fontId="0" fillId="0" borderId="15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left" vertical="center"/>
    </xf>
    <xf numFmtId="173" fontId="0" fillId="0" borderId="4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left" vertical="center"/>
    </xf>
    <xf numFmtId="173" fontId="0" fillId="0" borderId="21" xfId="0" applyNumberFormat="1" applyFont="1" applyBorder="1" applyAlignment="1">
      <alignment horizontal="center" vertical="center"/>
    </xf>
    <xf numFmtId="173" fontId="0" fillId="0" borderId="22" xfId="0" applyNumberFormat="1" applyFont="1" applyBorder="1" applyAlignment="1">
      <alignment horizontal="center" vertical="center"/>
    </xf>
    <xf numFmtId="4" fontId="7" fillId="0" borderId="8" xfId="0" applyFont="1" applyBorder="1" applyAlignment="1">
      <alignment horizontal="right" vertical="center" wrapText="1"/>
    </xf>
    <xf numFmtId="4" fontId="7" fillId="0" borderId="4" xfId="0" applyFont="1" applyBorder="1" applyAlignment="1">
      <alignment horizontal="right" vertical="center" wrapText="1"/>
    </xf>
    <xf numFmtId="173" fontId="0" fillId="0" borderId="15" xfId="0" applyNumberFormat="1" applyFont="1" applyBorder="1" applyAlignment="1">
      <alignment horizontal="center" vertical="center"/>
    </xf>
    <xf numFmtId="173" fontId="0" fillId="0" borderId="5" xfId="0" applyNumberFormat="1" applyFont="1" applyBorder="1" applyAlignment="1">
      <alignment horizontal="center" vertical="center"/>
    </xf>
    <xf numFmtId="173" fontId="0" fillId="0" borderId="2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left" vertical="center"/>
    </xf>
    <xf numFmtId="173" fontId="0" fillId="0" borderId="6" xfId="0" applyNumberFormat="1" applyFont="1" applyBorder="1" applyAlignment="1">
      <alignment horizontal="right" vertical="center"/>
    </xf>
    <xf numFmtId="173" fontId="0" fillId="0" borderId="7" xfId="0" applyNumberFormat="1" applyBorder="1" applyAlignment="1">
      <alignment/>
    </xf>
    <xf numFmtId="183" fontId="0" fillId="0" borderId="3" xfId="26" applyNumberFormat="1" applyFont="1" applyBorder="1" applyAlignment="1">
      <alignment horizontal="left" vertical="center"/>
    </xf>
    <xf numFmtId="183" fontId="0" fillId="0" borderId="5" xfId="26" applyNumberFormat="1" applyFont="1" applyBorder="1" applyAlignment="1">
      <alignment horizontal="left" vertical="center"/>
    </xf>
    <xf numFmtId="4" fontId="0" fillId="0" borderId="1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 vertical="center"/>
    </xf>
    <xf numFmtId="4" fontId="0" fillId="0" borderId="1" xfId="0" applyBorder="1" applyAlignment="1">
      <alignment horizontal="center" vertical="top" wrapText="1"/>
    </xf>
    <xf numFmtId="3" fontId="0" fillId="0" borderId="0" xfId="0" applyNumberFormat="1" applyFont="1" applyBorder="1" applyAlignment="1">
      <alignment horizontal="right" vertical="center"/>
    </xf>
    <xf numFmtId="173" fontId="0" fillId="0" borderId="0" xfId="0" applyNumberFormat="1" applyFont="1" applyBorder="1" applyAlignment="1">
      <alignment horizontal="center" vertical="center"/>
    </xf>
    <xf numFmtId="173" fontId="0" fillId="0" borderId="0" xfId="0" applyNumberFormat="1" applyFont="1" applyBorder="1" applyAlignment="1">
      <alignment vertical="center"/>
    </xf>
    <xf numFmtId="173" fontId="0" fillId="0" borderId="0" xfId="0" applyNumberFormat="1" applyFont="1" applyBorder="1" applyAlignment="1">
      <alignment horizontal="center" vertical="center"/>
    </xf>
    <xf numFmtId="173" fontId="7" fillId="0" borderId="1" xfId="0" applyNumberFormat="1" applyFont="1" applyBorder="1" applyAlignment="1">
      <alignment horizontal="center" wrapText="1"/>
    </xf>
    <xf numFmtId="173" fontId="0" fillId="0" borderId="1" xfId="0" applyNumberFormat="1" applyFont="1" applyBorder="1" applyAlignment="1">
      <alignment horizontal="center" wrapText="1"/>
    </xf>
    <xf numFmtId="4" fontId="0" fillId="0" borderId="1" xfId="0" applyFont="1" applyBorder="1" applyAlignment="1">
      <alignment horizontal="center" wrapText="1"/>
    </xf>
    <xf numFmtId="3" fontId="0" fillId="0" borderId="0" xfId="0" applyNumberFormat="1" applyFont="1" applyBorder="1" applyAlignment="1" quotePrefix="1">
      <alignment horizontal="left" vertical="center"/>
    </xf>
    <xf numFmtId="4" fontId="0" fillId="0" borderId="0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left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4" fontId="0" fillId="0" borderId="1" xfId="0" applyFont="1" applyBorder="1" applyAlignment="1">
      <alignment horizontal="center" vertical="center"/>
    </xf>
    <xf numFmtId="4" fontId="0" fillId="0" borderId="0" xfId="0" applyFont="1" applyBorder="1" applyAlignment="1">
      <alignment horizontal="center" vertical="center"/>
    </xf>
    <xf numFmtId="172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173" fontId="0" fillId="0" borderId="8" xfId="0" applyNumberFormat="1" applyFont="1" applyBorder="1" applyAlignment="1">
      <alignment horizontal="right" vertical="center"/>
    </xf>
    <xf numFmtId="3" fontId="0" fillId="0" borderId="9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173" fontId="0" fillId="0" borderId="23" xfId="0" applyNumberFormat="1" applyFont="1" applyBorder="1" applyAlignment="1">
      <alignment horizontal="left" vertical="center"/>
    </xf>
    <xf numFmtId="3" fontId="0" fillId="0" borderId="21" xfId="0" applyNumberFormat="1" applyFont="1" applyBorder="1" applyAlignment="1">
      <alignment horizontal="center" vertical="center"/>
    </xf>
    <xf numFmtId="4" fontId="0" fillId="0" borderId="21" xfId="0" applyFont="1" applyBorder="1" applyAlignment="1">
      <alignment horizontal="center" vertical="center"/>
    </xf>
    <xf numFmtId="4" fontId="0" fillId="0" borderId="22" xfId="0" applyFont="1" applyBorder="1" applyAlignment="1">
      <alignment horizontal="right" vertical="center"/>
    </xf>
    <xf numFmtId="173" fontId="0" fillId="0" borderId="8" xfId="0" applyNumberFormat="1" applyFont="1" applyBorder="1" applyAlignment="1">
      <alignment horizontal="center" vertical="center"/>
    </xf>
    <xf numFmtId="173" fontId="0" fillId="0" borderId="4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4" fontId="0" fillId="0" borderId="15" xfId="0" applyFont="1" applyBorder="1" applyAlignment="1">
      <alignment horizontal="center" vertical="center"/>
    </xf>
    <xf numFmtId="4" fontId="0" fillId="0" borderId="12" xfId="0" applyFont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/>
    </xf>
    <xf numFmtId="173" fontId="0" fillId="0" borderId="23" xfId="0" applyNumberFormat="1" applyFont="1" applyBorder="1" applyAlignment="1">
      <alignment vertical="center"/>
    </xf>
    <xf numFmtId="4" fontId="0" fillId="0" borderId="15" xfId="0" applyFont="1" applyBorder="1" applyAlignment="1">
      <alignment vertical="center"/>
    </xf>
    <xf numFmtId="4" fontId="0" fillId="0" borderId="12" xfId="0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vertical="center"/>
    </xf>
    <xf numFmtId="4" fontId="0" fillId="0" borderId="15" xfId="0" applyFont="1" applyBorder="1" applyAlignment="1">
      <alignment horizontal="right" vertical="center"/>
    </xf>
    <xf numFmtId="173" fontId="0" fillId="0" borderId="15" xfId="0" applyNumberFormat="1" applyFont="1" applyBorder="1" applyAlignment="1">
      <alignment vertical="center"/>
    </xf>
    <xf numFmtId="4" fontId="0" fillId="0" borderId="5" xfId="0" applyFont="1" applyBorder="1" applyAlignment="1">
      <alignment horizontal="right" vertical="center"/>
    </xf>
    <xf numFmtId="173" fontId="0" fillId="0" borderId="6" xfId="0" applyNumberFormat="1" applyFont="1" applyBorder="1" applyAlignment="1">
      <alignment vertical="center"/>
    </xf>
    <xf numFmtId="4" fontId="0" fillId="0" borderId="19" xfId="0" applyFont="1" applyBorder="1" applyAlignment="1">
      <alignment vertical="center"/>
    </xf>
    <xf numFmtId="4" fontId="0" fillId="0" borderId="21" xfId="0" applyFont="1" applyBorder="1" applyAlignment="1">
      <alignment horizontal="right" vertical="center"/>
    </xf>
    <xf numFmtId="4" fontId="0" fillId="0" borderId="9" xfId="0" applyFont="1" applyBorder="1" applyAlignment="1">
      <alignment horizontal="left" vertical="center"/>
    </xf>
    <xf numFmtId="173" fontId="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4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4" fontId="8" fillId="0" borderId="0" xfId="0" applyFont="1" applyAlignment="1">
      <alignment horizontal="right"/>
    </xf>
    <xf numFmtId="3" fontId="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 horizontal="left"/>
    </xf>
    <xf numFmtId="4" fontId="0" fillId="0" borderId="1" xfId="0" applyFont="1" applyBorder="1" applyAlignment="1">
      <alignment horizontal="center" vertical="center"/>
    </xf>
    <xf numFmtId="4" fontId="0" fillId="0" borderId="0" xfId="0" applyFont="1" applyBorder="1" applyAlignment="1">
      <alignment horizontal="center" vertical="center"/>
    </xf>
    <xf numFmtId="4" fontId="0" fillId="0" borderId="0" xfId="0" applyFont="1" applyBorder="1" applyAlignment="1">
      <alignment horizontal="center" vertical="center"/>
    </xf>
    <xf numFmtId="4" fontId="0" fillId="0" borderId="0" xfId="0" applyFont="1" applyBorder="1" applyAlignment="1" quotePrefix="1">
      <alignment horizontal="right" vertical="center"/>
    </xf>
    <xf numFmtId="3" fontId="0" fillId="0" borderId="0" xfId="0" applyNumberFormat="1" applyFont="1" applyBorder="1" applyAlignment="1">
      <alignment horizontal="left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/>
    </xf>
    <xf numFmtId="173" fontId="7" fillId="0" borderId="0" xfId="0" applyNumberFormat="1" applyFont="1" applyAlignment="1">
      <alignment horizontal="right" vertical="center"/>
    </xf>
    <xf numFmtId="173" fontId="0" fillId="0" borderId="0" xfId="0" applyNumberFormat="1" applyFont="1" applyBorder="1" applyAlignment="1">
      <alignment horizontal="left" vertical="center"/>
    </xf>
    <xf numFmtId="3" fontId="0" fillId="0" borderId="0" xfId="0" applyNumberFormat="1" applyFont="1" applyBorder="1" applyAlignment="1">
      <alignment horizontal="left" vertical="center"/>
    </xf>
    <xf numFmtId="173" fontId="0" fillId="0" borderId="17" xfId="0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4" fontId="0" fillId="0" borderId="8" xfId="0" applyNumberFormat="1" applyFont="1" applyBorder="1" applyAlignment="1">
      <alignment horizontal="center" vertical="center"/>
    </xf>
    <xf numFmtId="4" fontId="0" fillId="0" borderId="9" xfId="0" applyNumberFormat="1" applyFont="1" applyBorder="1" applyAlignment="1">
      <alignment horizontal="center" vertical="center"/>
    </xf>
    <xf numFmtId="4" fontId="0" fillId="0" borderId="4" xfId="0" applyNumberFormat="1" applyFont="1" applyBorder="1" applyAlignment="1">
      <alignment horizontal="center" vertical="center"/>
    </xf>
    <xf numFmtId="173" fontId="0" fillId="0" borderId="13" xfId="0" applyNumberFormat="1" applyFont="1" applyBorder="1" applyAlignment="1">
      <alignment horizontal="right" vertical="center"/>
    </xf>
    <xf numFmtId="173" fontId="0" fillId="0" borderId="3" xfId="0" applyNumberFormat="1" applyFont="1" applyBorder="1" applyAlignment="1">
      <alignment horizontal="left" vertical="center"/>
    </xf>
    <xf numFmtId="173" fontId="0" fillId="0" borderId="5" xfId="0" applyNumberFormat="1" applyFont="1" applyBorder="1" applyAlignment="1">
      <alignment horizontal="left" vertical="center"/>
    </xf>
    <xf numFmtId="173" fontId="0" fillId="0" borderId="7" xfId="0" applyNumberFormat="1" applyFont="1" applyBorder="1" applyAlignment="1">
      <alignment horizontal="left" vertical="center"/>
    </xf>
    <xf numFmtId="173" fontId="0" fillId="0" borderId="6" xfId="0" applyNumberFormat="1" applyFont="1" applyBorder="1" applyAlignment="1">
      <alignment horizontal="left" vertical="center"/>
    </xf>
    <xf numFmtId="4" fontId="0" fillId="0" borderId="2" xfId="0" applyFont="1" applyBorder="1" applyAlignment="1">
      <alignment horizontal="left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0" fillId="0" borderId="5" xfId="0" applyNumberFormat="1" applyFont="1" applyBorder="1" applyAlignment="1">
      <alignment horizontal="center" vertical="center"/>
    </xf>
    <xf numFmtId="4" fontId="0" fillId="0" borderId="22" xfId="0" applyFont="1" applyBorder="1" applyAlignment="1">
      <alignment horizontal="left" vertical="center"/>
    </xf>
    <xf numFmtId="3" fontId="0" fillId="0" borderId="15" xfId="0" applyNumberFormat="1" applyFont="1" applyBorder="1" applyAlignment="1">
      <alignment horizontal="left" vertical="center"/>
    </xf>
    <xf numFmtId="4" fontId="0" fillId="0" borderId="7" xfId="0" applyFont="1" applyBorder="1" applyAlignment="1">
      <alignment horizontal="left" vertical="center"/>
    </xf>
    <xf numFmtId="4" fontId="0" fillId="0" borderId="0" xfId="0" applyFont="1" applyBorder="1" applyAlignment="1" quotePrefix="1">
      <alignment vertical="center"/>
    </xf>
    <xf numFmtId="173" fontId="0" fillId="0" borderId="0" xfId="0" applyNumberFormat="1" applyFont="1" applyBorder="1" applyAlignment="1">
      <alignment horizontal="left" vertical="center"/>
    </xf>
    <xf numFmtId="173" fontId="0" fillId="0" borderId="7" xfId="0" applyNumberFormat="1" applyFont="1" applyBorder="1" applyAlignment="1">
      <alignment horizontal="left" vertical="center"/>
    </xf>
    <xf numFmtId="3" fontId="0" fillId="2" borderId="2" xfId="0" applyNumberFormat="1" applyFont="1" applyFill="1" applyBorder="1" applyAlignment="1">
      <alignment horizontal="center" vertical="center"/>
    </xf>
    <xf numFmtId="3" fontId="0" fillId="2" borderId="8" xfId="0" applyNumberFormat="1" applyFont="1" applyFill="1" applyBorder="1" applyAlignment="1">
      <alignment horizontal="center" vertical="center"/>
    </xf>
    <xf numFmtId="4" fontId="0" fillId="2" borderId="8" xfId="0" applyNumberFormat="1" applyFont="1" applyFill="1" applyBorder="1" applyAlignment="1">
      <alignment horizontal="center" vertical="center"/>
    </xf>
    <xf numFmtId="4" fontId="0" fillId="2" borderId="4" xfId="0" applyNumberFormat="1" applyFont="1" applyFill="1" applyBorder="1" applyAlignment="1">
      <alignment horizontal="center" vertical="center"/>
    </xf>
    <xf numFmtId="3" fontId="0" fillId="2" borderId="13" xfId="0" applyNumberFormat="1" applyFont="1" applyFill="1" applyBorder="1" applyAlignment="1">
      <alignment horizontal="center" vertical="center"/>
    </xf>
    <xf numFmtId="3" fontId="0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ont="1" applyFill="1" applyBorder="1" applyAlignment="1">
      <alignment horizontal="center" vertical="center"/>
    </xf>
    <xf numFmtId="4" fontId="0" fillId="2" borderId="15" xfId="0" applyNumberFormat="1" applyFont="1" applyFill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right" vertical="top"/>
    </xf>
    <xf numFmtId="172" fontId="8" fillId="0" borderId="0" xfId="0" applyNumberFormat="1" applyFont="1" applyBorder="1" applyAlignment="1">
      <alignment horizontal="left" vertical="top"/>
    </xf>
    <xf numFmtId="184" fontId="8" fillId="0" borderId="0" xfId="0" applyNumberFormat="1" applyFont="1" applyBorder="1" applyAlignment="1">
      <alignment horizontal="left" vertical="top"/>
    </xf>
    <xf numFmtId="172" fontId="8" fillId="0" borderId="0" xfId="0" applyNumberFormat="1" applyFont="1" applyBorder="1" applyAlignment="1">
      <alignment horizontal="left"/>
    </xf>
    <xf numFmtId="173" fontId="8" fillId="0" borderId="0" xfId="0" applyNumberFormat="1" applyFont="1" applyBorder="1" applyAlignment="1">
      <alignment horizontal="left"/>
    </xf>
    <xf numFmtId="173" fontId="8" fillId="0" borderId="6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left" vertical="top"/>
    </xf>
    <xf numFmtId="3" fontId="8" fillId="0" borderId="13" xfId="0" applyNumberFormat="1" applyFont="1" applyBorder="1" applyAlignment="1">
      <alignment horizontal="left" vertical="top"/>
    </xf>
    <xf numFmtId="4" fontId="8" fillId="0" borderId="13" xfId="0" applyFont="1" applyBorder="1" applyAlignment="1">
      <alignment vertical="top"/>
    </xf>
    <xf numFmtId="3" fontId="8" fillId="0" borderId="13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3" fontId="8" fillId="0" borderId="8" xfId="0" applyNumberFormat="1" applyFont="1" applyBorder="1" applyAlignment="1">
      <alignment horizontal="right"/>
    </xf>
    <xf numFmtId="3" fontId="8" fillId="0" borderId="9" xfId="0" applyNumberFormat="1" applyFont="1" applyBorder="1" applyAlignment="1">
      <alignment/>
    </xf>
    <xf numFmtId="3" fontId="8" fillId="0" borderId="4" xfId="0" applyNumberFormat="1" applyFont="1" applyBorder="1" applyAlignment="1">
      <alignment horizontal="right"/>
    </xf>
    <xf numFmtId="173" fontId="8" fillId="0" borderId="15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4" fontId="8" fillId="0" borderId="15" xfId="0" applyFont="1" applyBorder="1" applyAlignment="1">
      <alignment/>
    </xf>
    <xf numFmtId="3" fontId="8" fillId="0" borderId="5" xfId="0" applyNumberFormat="1" applyFont="1" applyBorder="1" applyAlignment="1">
      <alignment/>
    </xf>
    <xf numFmtId="184" fontId="8" fillId="0" borderId="7" xfId="0" applyNumberFormat="1" applyFont="1" applyBorder="1" applyAlignment="1">
      <alignment horizontal="left"/>
    </xf>
    <xf numFmtId="3" fontId="8" fillId="0" borderId="1" xfId="0" applyNumberFormat="1" applyFont="1" applyBorder="1" applyAlignment="1">
      <alignment horizontal="center"/>
    </xf>
    <xf numFmtId="169" fontId="8" fillId="0" borderId="1" xfId="0" applyNumberFormat="1" applyFont="1" applyBorder="1" applyAlignment="1">
      <alignment horizontal="center"/>
    </xf>
    <xf numFmtId="185" fontId="8" fillId="0" borderId="0" xfId="0" applyNumberFormat="1" applyFont="1" applyBorder="1" applyAlignment="1">
      <alignment horizontal="center"/>
    </xf>
    <xf numFmtId="184" fontId="8" fillId="0" borderId="0" xfId="0" applyNumberFormat="1" applyFont="1" applyBorder="1" applyAlignment="1">
      <alignment/>
    </xf>
    <xf numFmtId="185" fontId="8" fillId="0" borderId="0" xfId="0" applyNumberFormat="1" applyFont="1" applyBorder="1" applyAlignment="1">
      <alignment horizontal="center" vertical="top"/>
    </xf>
    <xf numFmtId="184" fontId="8" fillId="0" borderId="0" xfId="0" applyNumberFormat="1" applyFont="1" applyBorder="1" applyAlignment="1">
      <alignment/>
    </xf>
    <xf numFmtId="185" fontId="8" fillId="0" borderId="0" xfId="0" applyNumberFormat="1" applyFont="1" applyBorder="1" applyAlignment="1">
      <alignment horizontal="center" wrapText="1"/>
    </xf>
    <xf numFmtId="185" fontId="8" fillId="0" borderId="1" xfId="0" applyNumberFormat="1" applyFont="1" applyBorder="1" applyAlignment="1">
      <alignment horizontal="center" wrapText="1"/>
    </xf>
    <xf numFmtId="173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 quotePrefix="1">
      <alignment horizontal="left"/>
    </xf>
    <xf numFmtId="184" fontId="8" fillId="0" borderId="0" xfId="0" applyNumberFormat="1" applyFont="1" applyBorder="1" applyAlignment="1">
      <alignment/>
    </xf>
    <xf numFmtId="173" fontId="8" fillId="0" borderId="0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 horizontal="center"/>
    </xf>
    <xf numFmtId="169" fontId="8" fillId="0" borderId="22" xfId="0" applyNumberFormat="1" applyFont="1" applyBorder="1" applyAlignment="1">
      <alignment horizontal="center"/>
    </xf>
    <xf numFmtId="185" fontId="8" fillId="0" borderId="8" xfId="0" applyNumberFormat="1" applyFont="1" applyBorder="1" applyAlignment="1">
      <alignment horizontal="center"/>
    </xf>
    <xf numFmtId="185" fontId="8" fillId="0" borderId="9" xfId="0" applyNumberFormat="1" applyFont="1" applyBorder="1" applyAlignment="1">
      <alignment horizontal="center" vertical="top"/>
    </xf>
    <xf numFmtId="185" fontId="8" fillId="0" borderId="9" xfId="0" applyNumberFormat="1" applyFont="1" applyBorder="1" applyAlignment="1">
      <alignment horizontal="center"/>
    </xf>
    <xf numFmtId="185" fontId="8" fillId="0" borderId="8" xfId="0" applyNumberFormat="1" applyFont="1" applyBorder="1" applyAlignment="1">
      <alignment horizontal="center" vertical="top"/>
    </xf>
    <xf numFmtId="185" fontId="8" fillId="0" borderId="4" xfId="0" applyNumberFormat="1" applyFont="1" applyBorder="1" applyAlignment="1">
      <alignment horizontal="center" vertical="top"/>
    </xf>
    <xf numFmtId="185" fontId="8" fillId="0" borderId="5" xfId="0" applyNumberFormat="1" applyFont="1" applyBorder="1" applyAlignment="1">
      <alignment horizontal="center"/>
    </xf>
    <xf numFmtId="4" fontId="0" fillId="0" borderId="0" xfId="0" applyFont="1" applyBorder="1" applyAlignment="1">
      <alignment horizontal="center" vertical="center"/>
    </xf>
    <xf numFmtId="4" fontId="0" fillId="0" borderId="13" xfId="0" applyFont="1" applyBorder="1" applyAlignment="1">
      <alignment horizontal="center" vertical="center"/>
    </xf>
    <xf numFmtId="4" fontId="0" fillId="0" borderId="0" xfId="0" applyFont="1" applyFill="1" applyBorder="1" applyAlignment="1" quotePrefix="1">
      <alignment horizontal="left"/>
    </xf>
    <xf numFmtId="4" fontId="0" fillId="0" borderId="13" xfId="0" applyFont="1" applyFill="1" applyBorder="1" applyAlignment="1">
      <alignment horizontal="left"/>
    </xf>
    <xf numFmtId="174" fontId="0" fillId="0" borderId="13" xfId="0" applyNumberFormat="1" applyFont="1" applyFill="1" applyBorder="1" applyAlignment="1">
      <alignment horizontal="right"/>
    </xf>
    <xf numFmtId="174" fontId="0" fillId="0" borderId="3" xfId="0" applyNumberFormat="1" applyFont="1" applyFill="1" applyBorder="1" applyAlignment="1">
      <alignment horizontal="center"/>
    </xf>
    <xf numFmtId="4" fontId="0" fillId="0" borderId="0" xfId="0" applyFont="1" applyFill="1" applyBorder="1" applyAlignment="1">
      <alignment/>
    </xf>
    <xf numFmtId="4" fontId="0" fillId="0" borderId="0" xfId="0" applyFont="1" applyFill="1" applyBorder="1" applyAlignment="1">
      <alignment horizontal="left"/>
    </xf>
    <xf numFmtId="174" fontId="0" fillId="0" borderId="0" xfId="0" applyNumberFormat="1" applyFont="1" applyFill="1" applyBorder="1" applyAlignment="1">
      <alignment horizontal="right"/>
    </xf>
    <xf numFmtId="174" fontId="0" fillId="0" borderId="0" xfId="0" applyNumberFormat="1" applyFont="1" applyFill="1" applyBorder="1" applyAlignment="1">
      <alignment horizontal="center"/>
    </xf>
    <xf numFmtId="174" fontId="0" fillId="0" borderId="9" xfId="0" applyNumberFormat="1" applyFont="1" applyFill="1" applyBorder="1" applyAlignment="1">
      <alignment horizontal="center"/>
    </xf>
    <xf numFmtId="174" fontId="0" fillId="0" borderId="0" xfId="25" applyNumberFormat="1" applyFont="1" applyFill="1" applyBorder="1" applyAlignment="1">
      <alignment horizontal="center"/>
      <protection/>
    </xf>
    <xf numFmtId="4" fontId="0" fillId="0" borderId="0" xfId="0" applyFont="1" applyFill="1" applyBorder="1" applyAlignment="1">
      <alignment horizontal="center"/>
    </xf>
    <xf numFmtId="4" fontId="0" fillId="0" borderId="9" xfId="0" applyFont="1" applyFill="1" applyBorder="1" applyAlignment="1">
      <alignment horizontal="center"/>
    </xf>
    <xf numFmtId="4" fontId="0" fillId="0" borderId="15" xfId="0" applyFont="1" applyFill="1" applyBorder="1" applyAlignment="1">
      <alignment horizontal="left"/>
    </xf>
    <xf numFmtId="174" fontId="0" fillId="0" borderId="15" xfId="0" applyNumberFormat="1" applyFont="1" applyFill="1" applyBorder="1" applyAlignment="1">
      <alignment horizontal="left"/>
    </xf>
    <xf numFmtId="4" fontId="0" fillId="0" borderId="5" xfId="0" applyFont="1" applyFill="1" applyBorder="1" applyAlignment="1">
      <alignment horizontal="center"/>
    </xf>
    <xf numFmtId="173" fontId="8" fillId="0" borderId="1" xfId="0" applyNumberFormat="1" applyFont="1" applyBorder="1" applyAlignment="1">
      <alignment horizontal="center"/>
    </xf>
    <xf numFmtId="185" fontId="8" fillId="0" borderId="0" xfId="0" applyNumberFormat="1" applyFont="1" applyBorder="1" applyAlignment="1">
      <alignment horizontal="left"/>
    </xf>
    <xf numFmtId="173" fontId="8" fillId="0" borderId="0" xfId="0" applyNumberFormat="1" applyFont="1" applyBorder="1" applyAlignment="1">
      <alignment horizontal="center"/>
    </xf>
    <xf numFmtId="184" fontId="8" fillId="0" borderId="0" xfId="0" applyNumberFormat="1" applyFont="1" applyBorder="1" applyAlignment="1">
      <alignment horizontal="center"/>
    </xf>
    <xf numFmtId="185" fontId="8" fillId="0" borderId="0" xfId="0" applyNumberFormat="1" applyFont="1" applyBorder="1" applyAlignment="1">
      <alignment horizontal="center"/>
    </xf>
    <xf numFmtId="185" fontId="8" fillId="0" borderId="0" xfId="0" applyNumberFormat="1" applyFont="1" applyBorder="1" applyAlignment="1">
      <alignment horizontal="center"/>
    </xf>
    <xf numFmtId="4" fontId="0" fillId="0" borderId="2" xfId="0" applyFont="1" applyFill="1" applyBorder="1" applyAlignment="1">
      <alignment horizontal="right"/>
    </xf>
    <xf numFmtId="4" fontId="0" fillId="0" borderId="8" xfId="0" applyFont="1" applyFill="1" applyBorder="1" applyAlignment="1">
      <alignment horizontal="right"/>
    </xf>
    <xf numFmtId="4" fontId="0" fillId="0" borderId="4" xfId="0" applyFont="1" applyFill="1" applyBorder="1" applyAlignment="1">
      <alignment horizontal="right"/>
    </xf>
    <xf numFmtId="173" fontId="8" fillId="0" borderId="3" xfId="0" applyNumberFormat="1" applyFont="1" applyBorder="1" applyAlignment="1">
      <alignment horizontal="left"/>
    </xf>
    <xf numFmtId="173" fontId="8" fillId="0" borderId="9" xfId="0" applyNumberFormat="1" applyFont="1" applyBorder="1" applyAlignment="1">
      <alignment horizontal="left"/>
    </xf>
    <xf numFmtId="173" fontId="8" fillId="0" borderId="5" xfId="0" applyNumberFormat="1" applyFont="1" applyBorder="1" applyAlignment="1">
      <alignment horizontal="left"/>
    </xf>
    <xf numFmtId="3" fontId="9" fillId="0" borderId="6" xfId="0" applyNumberFormat="1" applyFont="1" applyBorder="1" applyAlignment="1">
      <alignment horizontal="right"/>
    </xf>
    <xf numFmtId="173" fontId="0" fillId="0" borderId="2" xfId="0" applyNumberFormat="1" applyFont="1" applyBorder="1" applyAlignment="1">
      <alignment horizontal="left" vertical="center"/>
    </xf>
    <xf numFmtId="3" fontId="0" fillId="0" borderId="13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/>
    </xf>
    <xf numFmtId="4" fontId="0" fillId="0" borderId="3" xfId="0" applyFont="1" applyBorder="1" applyAlignment="1">
      <alignment horizontal="right" vertical="center"/>
    </xf>
    <xf numFmtId="3" fontId="8" fillId="0" borderId="4" xfId="0" applyNumberFormat="1" applyFont="1" applyBorder="1" applyAlignment="1">
      <alignment horizontal="left"/>
    </xf>
    <xf numFmtId="3" fontId="8" fillId="0" borderId="15" xfId="0" applyNumberFormat="1" applyFont="1" applyBorder="1" applyAlignment="1">
      <alignment horizontal="left"/>
    </xf>
    <xf numFmtId="173" fontId="8" fillId="0" borderId="7" xfId="0" applyNumberFormat="1" applyFont="1" applyBorder="1" applyAlignment="1">
      <alignment horizontal="left"/>
    </xf>
    <xf numFmtId="184" fontId="8" fillId="0" borderId="0" xfId="0" applyNumberFormat="1" applyFont="1" applyBorder="1" applyAlignment="1">
      <alignment/>
    </xf>
    <xf numFmtId="4" fontId="7" fillId="0" borderId="0" xfId="0" applyFont="1" applyBorder="1" applyAlignment="1">
      <alignment horizontal="right" wrapText="1"/>
    </xf>
    <xf numFmtId="4" fontId="0" fillId="0" borderId="0" xfId="0" applyFont="1" applyBorder="1" applyAlignment="1">
      <alignment horizontal="right" wrapText="1"/>
    </xf>
    <xf numFmtId="4" fontId="0" fillId="0" borderId="0" xfId="0" applyFont="1" applyBorder="1" applyAlignment="1">
      <alignment horizontal="center" wrapText="1"/>
    </xf>
    <xf numFmtId="4" fontId="0" fillId="0" borderId="0" xfId="0" applyFont="1" applyBorder="1" applyAlignment="1">
      <alignment horizontal="right" wrapText="1"/>
    </xf>
    <xf numFmtId="172" fontId="0" fillId="0" borderId="0" xfId="0" applyNumberFormat="1" applyFont="1" applyBorder="1" applyAlignment="1">
      <alignment horizontal="center" wrapText="1"/>
    </xf>
    <xf numFmtId="185" fontId="0" fillId="0" borderId="0" xfId="0" applyNumberFormat="1" applyFont="1" applyBorder="1" applyAlignment="1">
      <alignment horizontal="center" wrapText="1"/>
    </xf>
    <xf numFmtId="184" fontId="8" fillId="0" borderId="0" xfId="0" applyNumberFormat="1" applyFont="1" applyBorder="1" applyAlignment="1">
      <alignment horizontal="center" vertical="center"/>
    </xf>
    <xf numFmtId="185" fontId="0" fillId="0" borderId="0" xfId="0" applyNumberFormat="1" applyFont="1" applyBorder="1" applyAlignment="1">
      <alignment horizontal="center" wrapText="1"/>
    </xf>
    <xf numFmtId="172" fontId="8" fillId="0" borderId="0" xfId="0" applyNumberFormat="1" applyFont="1" applyBorder="1" applyAlignment="1">
      <alignment horizontal="left" vertical="center"/>
    </xf>
    <xf numFmtId="185" fontId="8" fillId="0" borderId="0" xfId="0" applyNumberFormat="1" applyFont="1" applyBorder="1" applyAlignment="1">
      <alignment horizontal="center" vertical="center"/>
    </xf>
    <xf numFmtId="185" fontId="8" fillId="0" borderId="1" xfId="0" applyNumberFormat="1" applyFont="1" applyBorder="1" applyAlignment="1">
      <alignment horizontal="center" vertical="center"/>
    </xf>
    <xf numFmtId="4" fontId="8" fillId="0" borderId="1" xfId="0" applyFont="1" applyBorder="1" applyAlignment="1">
      <alignment horizontal="center" vertical="center"/>
    </xf>
    <xf numFmtId="173" fontId="8" fillId="0" borderId="0" xfId="0" applyNumberFormat="1" applyFont="1" applyBorder="1" applyAlignment="1">
      <alignment horizontal="center" vertical="center"/>
    </xf>
    <xf numFmtId="173" fontId="8" fillId="0" borderId="0" xfId="0" applyNumberFormat="1" applyFont="1" applyBorder="1" applyAlignment="1">
      <alignment horizontal="left" vertical="center"/>
    </xf>
    <xf numFmtId="185" fontId="8" fillId="0" borderId="0" xfId="0" applyNumberFormat="1" applyFont="1" applyBorder="1" applyAlignment="1">
      <alignment horizontal="left" vertical="center"/>
    </xf>
    <xf numFmtId="185" fontId="8" fillId="0" borderId="0" xfId="0" applyNumberFormat="1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center" vertical="top" wrapText="1"/>
    </xf>
    <xf numFmtId="4" fontId="9" fillId="0" borderId="0" xfId="0" applyFont="1" applyBorder="1" applyAlignment="1">
      <alignment horizontal="right" vertical="center"/>
    </xf>
    <xf numFmtId="185" fontId="8" fillId="0" borderId="0" xfId="0" applyNumberFormat="1" applyFont="1" applyBorder="1" applyAlignment="1">
      <alignment horizontal="center" vertical="center"/>
    </xf>
    <xf numFmtId="4" fontId="8" fillId="0" borderId="17" xfId="0" applyFont="1" applyBorder="1" applyAlignment="1">
      <alignment horizontal="center" vertical="center"/>
    </xf>
    <xf numFmtId="185" fontId="8" fillId="0" borderId="18" xfId="0" applyNumberFormat="1" applyFont="1" applyBorder="1" applyAlignment="1">
      <alignment horizontal="center" vertical="center"/>
    </xf>
    <xf numFmtId="185" fontId="8" fillId="0" borderId="17" xfId="0" applyNumberFormat="1" applyFont="1" applyBorder="1" applyAlignment="1">
      <alignment horizontal="center" vertical="center"/>
    </xf>
    <xf numFmtId="185" fontId="8" fillId="0" borderId="0" xfId="0" applyNumberFormat="1" applyFont="1" applyBorder="1" applyAlignment="1">
      <alignment horizontal="center" vertical="center"/>
    </xf>
    <xf numFmtId="4" fontId="8" fillId="0" borderId="0" xfId="0" applyFont="1" applyBorder="1" applyAlignment="1" quotePrefix="1">
      <alignment vertical="center"/>
    </xf>
    <xf numFmtId="185" fontId="8" fillId="0" borderId="0" xfId="0" applyNumberFormat="1" applyFont="1" applyBorder="1" applyAlignment="1">
      <alignment horizontal="left" vertical="center"/>
    </xf>
    <xf numFmtId="185" fontId="8" fillId="0" borderId="0" xfId="0" applyNumberFormat="1" applyFont="1" applyBorder="1" applyAlignment="1">
      <alignment horizontal="right" vertical="center"/>
    </xf>
    <xf numFmtId="185" fontId="8" fillId="0" borderId="0" xfId="0" applyNumberFormat="1" applyFont="1" applyBorder="1" applyAlignment="1">
      <alignment horizontal="center" vertical="center"/>
    </xf>
    <xf numFmtId="185" fontId="8" fillId="0" borderId="0" xfId="0" applyNumberFormat="1" applyFont="1" applyBorder="1" applyAlignment="1">
      <alignment vertical="center"/>
    </xf>
    <xf numFmtId="185" fontId="8" fillId="0" borderId="0" xfId="0" applyNumberFormat="1" applyFont="1" applyBorder="1" applyAlignment="1">
      <alignment horizontal="center" vertical="center"/>
    </xf>
    <xf numFmtId="185" fontId="8" fillId="0" borderId="0" xfId="0" applyNumberFormat="1" applyFont="1" applyBorder="1" applyAlignment="1">
      <alignment horizontal="right" vertical="center"/>
    </xf>
    <xf numFmtId="185" fontId="8" fillId="0" borderId="0" xfId="0" applyNumberFormat="1" applyFont="1" applyBorder="1" applyAlignment="1">
      <alignment horizontal="right" vertical="center"/>
    </xf>
    <xf numFmtId="185" fontId="8" fillId="0" borderId="0" xfId="0" applyNumberFormat="1" applyFont="1" applyBorder="1" applyAlignment="1">
      <alignment horizontal="center" vertical="center"/>
    </xf>
    <xf numFmtId="185" fontId="8" fillId="0" borderId="0" xfId="0" applyNumberFormat="1" applyFont="1" applyBorder="1" applyAlignment="1">
      <alignment horizontal="right" vertical="center"/>
    </xf>
    <xf numFmtId="185" fontId="8" fillId="0" borderId="0" xfId="0" applyNumberFormat="1" applyFont="1" applyBorder="1" applyAlignment="1">
      <alignment horizontal="center" vertical="center"/>
    </xf>
    <xf numFmtId="185" fontId="8" fillId="0" borderId="0" xfId="0" applyNumberFormat="1" applyFont="1" applyBorder="1" applyAlignment="1">
      <alignment horizontal="right" vertical="center"/>
    </xf>
    <xf numFmtId="4" fontId="8" fillId="0" borderId="1" xfId="0" applyFont="1" applyBorder="1" applyAlignment="1">
      <alignment vertical="center"/>
    </xf>
    <xf numFmtId="185" fontId="8" fillId="0" borderId="0" xfId="0" applyNumberFormat="1" applyFont="1" applyBorder="1" applyAlignment="1">
      <alignment vertical="center"/>
    </xf>
    <xf numFmtId="185" fontId="8" fillId="0" borderId="0" xfId="0" applyNumberFormat="1" applyFont="1" applyBorder="1" applyAlignment="1">
      <alignment horizontal="left" vertical="center"/>
    </xf>
    <xf numFmtId="185" fontId="8" fillId="0" borderId="0" xfId="0" applyNumberFormat="1" applyFont="1" applyBorder="1" applyAlignment="1">
      <alignment horizontal="left" vertical="center"/>
    </xf>
    <xf numFmtId="185" fontId="8" fillId="0" borderId="0" xfId="0" applyNumberFormat="1" applyFont="1" applyBorder="1" applyAlignment="1">
      <alignment horizontal="left" vertical="center"/>
    </xf>
    <xf numFmtId="185" fontId="8" fillId="0" borderId="0" xfId="0" applyNumberFormat="1" applyFont="1" applyBorder="1" applyAlignment="1">
      <alignment horizontal="left" vertical="center"/>
    </xf>
    <xf numFmtId="173" fontId="8" fillId="0" borderId="0" xfId="0" applyNumberFormat="1" applyFont="1" applyBorder="1" applyAlignment="1">
      <alignment horizontal="left" vertical="center"/>
    </xf>
    <xf numFmtId="4" fontId="8" fillId="0" borderId="2" xfId="0" applyFont="1" applyBorder="1" applyAlignment="1">
      <alignment horizontal="center" wrapText="1"/>
    </xf>
    <xf numFmtId="4" fontId="8" fillId="0" borderId="3" xfId="0" applyFont="1" applyBorder="1" applyAlignment="1">
      <alignment horizontal="center" wrapText="1"/>
    </xf>
    <xf numFmtId="185" fontId="0" fillId="0" borderId="8" xfId="0" applyNumberFormat="1" applyFont="1" applyBorder="1" applyAlignment="1">
      <alignment horizontal="center" wrapText="1"/>
    </xf>
    <xf numFmtId="185" fontId="0" fillId="0" borderId="9" xfId="0" applyNumberFormat="1" applyFont="1" applyBorder="1" applyAlignment="1">
      <alignment horizontal="center" wrapText="1"/>
    </xf>
    <xf numFmtId="172" fontId="0" fillId="0" borderId="8" xfId="0" applyNumberFormat="1" applyFont="1" applyBorder="1" applyAlignment="1">
      <alignment horizontal="center" wrapText="1"/>
    </xf>
    <xf numFmtId="172" fontId="0" fillId="0" borderId="9" xfId="0" applyNumberFormat="1" applyFont="1" applyBorder="1" applyAlignment="1">
      <alignment horizontal="center" wrapText="1"/>
    </xf>
    <xf numFmtId="4" fontId="0" fillId="0" borderId="8" xfId="0" applyFont="1" applyBorder="1" applyAlignment="1">
      <alignment horizontal="center" wrapText="1"/>
    </xf>
    <xf numFmtId="4" fontId="0" fillId="0" borderId="9" xfId="0" applyFont="1" applyBorder="1" applyAlignment="1">
      <alignment horizontal="center" wrapText="1"/>
    </xf>
    <xf numFmtId="4" fontId="0" fillId="0" borderId="5" xfId="0" applyFont="1" applyBorder="1" applyAlignment="1">
      <alignment horizontal="center" wrapText="1"/>
    </xf>
    <xf numFmtId="4" fontId="8" fillId="0" borderId="3" xfId="0" applyFont="1" applyBorder="1" applyAlignment="1">
      <alignment horizontal="center" vertical="top" wrapText="1"/>
    </xf>
    <xf numFmtId="184" fontId="0" fillId="0" borderId="8" xfId="0" applyNumberFormat="1" applyFont="1" applyFill="1" applyBorder="1" applyAlignment="1">
      <alignment horizontal="center" wrapText="1"/>
    </xf>
    <xf numFmtId="4" fontId="0" fillId="0" borderId="9" xfId="0" applyFont="1" applyFill="1" applyBorder="1" applyAlignment="1">
      <alignment horizontal="center" vertical="top" wrapText="1"/>
    </xf>
    <xf numFmtId="4" fontId="7" fillId="0" borderId="9" xfId="0" applyFont="1" applyBorder="1" applyAlignment="1">
      <alignment horizontal="center" wrapText="1"/>
    </xf>
    <xf numFmtId="4" fontId="0" fillId="0" borderId="8" xfId="0" applyBorder="1" applyAlignment="1">
      <alignment horizontal="center" vertical="top" wrapText="1"/>
    </xf>
    <xf numFmtId="4" fontId="0" fillId="0" borderId="9" xfId="0" applyBorder="1" applyAlignment="1">
      <alignment horizontal="center" vertical="top" wrapText="1"/>
    </xf>
    <xf numFmtId="185" fontId="0" fillId="0" borderId="8" xfId="0" applyNumberFormat="1" applyFont="1" applyFill="1" applyBorder="1" applyAlignment="1">
      <alignment horizontal="center" wrapText="1"/>
    </xf>
    <xf numFmtId="4" fontId="0" fillId="0" borderId="8" xfId="0" applyFont="1" applyFill="1" applyBorder="1" applyAlignment="1">
      <alignment horizontal="center" wrapText="1"/>
    </xf>
    <xf numFmtId="4" fontId="0" fillId="0" borderId="4" xfId="0" applyFont="1" applyFill="1" applyBorder="1" applyAlignment="1">
      <alignment horizontal="center" wrapText="1"/>
    </xf>
    <xf numFmtId="4" fontId="0" fillId="0" borderId="5" xfId="0" applyBorder="1" applyAlignment="1">
      <alignment horizontal="center" vertical="top" wrapText="1"/>
    </xf>
    <xf numFmtId="185" fontId="0" fillId="0" borderId="8" xfId="0" applyNumberFormat="1" applyFont="1" applyFill="1" applyBorder="1" applyAlignment="1">
      <alignment horizontal="center" wrapText="1"/>
    </xf>
    <xf numFmtId="173" fontId="8" fillId="0" borderId="2" xfId="0" applyNumberFormat="1" applyFont="1" applyBorder="1" applyAlignment="1">
      <alignment horizontal="left" vertical="center"/>
    </xf>
    <xf numFmtId="4" fontId="8" fillId="0" borderId="13" xfId="0" applyFont="1" applyBorder="1" applyAlignment="1">
      <alignment vertical="center"/>
    </xf>
    <xf numFmtId="4" fontId="8" fillId="0" borderId="3" xfId="0" applyFont="1" applyBorder="1" applyAlignment="1">
      <alignment vertical="center"/>
    </xf>
    <xf numFmtId="3" fontId="8" fillId="0" borderId="20" xfId="0" applyNumberFormat="1" applyFont="1" applyBorder="1" applyAlignment="1">
      <alignment horizontal="center" vertical="center"/>
    </xf>
    <xf numFmtId="4" fontId="8" fillId="0" borderId="14" xfId="0" applyFont="1" applyBorder="1" applyAlignment="1">
      <alignment horizontal="center" vertical="center"/>
    </xf>
    <xf numFmtId="173" fontId="8" fillId="0" borderId="8" xfId="0" applyNumberFormat="1" applyFont="1" applyBorder="1" applyAlignment="1">
      <alignment horizontal="center" vertical="center"/>
    </xf>
    <xf numFmtId="4" fontId="8" fillId="0" borderId="9" xfId="0" applyFont="1" applyBorder="1" applyAlignment="1">
      <alignment horizontal="center" vertical="center"/>
    </xf>
    <xf numFmtId="173" fontId="8" fillId="0" borderId="4" xfId="0" applyNumberFormat="1" applyFont="1" applyBorder="1" applyAlignment="1">
      <alignment horizontal="left" vertical="center"/>
    </xf>
    <xf numFmtId="185" fontId="8" fillId="0" borderId="15" xfId="0" applyNumberFormat="1" applyFont="1" applyBorder="1" applyAlignment="1">
      <alignment horizontal="left" vertical="center"/>
    </xf>
    <xf numFmtId="173" fontId="8" fillId="0" borderId="15" xfId="0" applyNumberFormat="1" applyFont="1" applyBorder="1" applyAlignment="1">
      <alignment horizontal="left" vertical="center"/>
    </xf>
    <xf numFmtId="4" fontId="8" fillId="0" borderId="5" xfId="0" applyFont="1" applyBorder="1" applyAlignment="1">
      <alignment horizontal="left" vertical="center"/>
    </xf>
    <xf numFmtId="173" fontId="8" fillId="0" borderId="23" xfId="0" applyNumberFormat="1" applyFont="1" applyBorder="1" applyAlignment="1">
      <alignment horizontal="center" vertical="center"/>
    </xf>
    <xf numFmtId="4" fontId="8" fillId="0" borderId="21" xfId="0" applyFont="1" applyBorder="1" applyAlignment="1">
      <alignment horizontal="center" vertical="center"/>
    </xf>
    <xf numFmtId="4" fontId="0" fillId="0" borderId="21" xfId="0" applyFont="1" applyBorder="1" applyAlignment="1">
      <alignment horizontal="center" wrapText="1"/>
    </xf>
    <xf numFmtId="4" fontId="8" fillId="0" borderId="22" xfId="0" applyFont="1" applyBorder="1" applyAlignment="1">
      <alignment horizontal="center" vertical="center"/>
    </xf>
    <xf numFmtId="4" fontId="8" fillId="0" borderId="4" xfId="0" applyFont="1" applyBorder="1" applyAlignment="1">
      <alignment horizontal="center" vertical="center"/>
    </xf>
    <xf numFmtId="9" fontId="8" fillId="0" borderId="15" xfId="26" applyFont="1" applyBorder="1" applyAlignment="1">
      <alignment horizontal="center" vertical="center"/>
    </xf>
    <xf numFmtId="173" fontId="8" fillId="0" borderId="15" xfId="0" applyNumberFormat="1" applyFont="1" applyBorder="1" applyAlignment="1">
      <alignment horizontal="center" vertical="center"/>
    </xf>
    <xf numFmtId="4" fontId="8" fillId="0" borderId="5" xfId="0" applyFont="1" applyBorder="1" applyAlignment="1">
      <alignment horizontal="center" vertical="center"/>
    </xf>
    <xf numFmtId="173" fontId="8" fillId="0" borderId="5" xfId="0" applyNumberFormat="1" applyFont="1" applyBorder="1" applyAlignment="1">
      <alignment horizontal="center" vertical="center"/>
    </xf>
    <xf numFmtId="173" fontId="8" fillId="0" borderId="2" xfId="0" applyNumberFormat="1" applyFont="1" applyBorder="1" applyAlignment="1">
      <alignment horizontal="right" wrapText="1"/>
    </xf>
    <xf numFmtId="4" fontId="8" fillId="0" borderId="3" xfId="0" applyFont="1" applyBorder="1" applyAlignment="1">
      <alignment horizontal="left" wrapText="1"/>
    </xf>
    <xf numFmtId="173" fontId="8" fillId="0" borderId="8" xfId="0" applyNumberFormat="1" applyFont="1" applyBorder="1" applyAlignment="1">
      <alignment horizontal="right" vertical="center"/>
    </xf>
    <xf numFmtId="173" fontId="8" fillId="0" borderId="9" xfId="0" applyNumberFormat="1" applyFont="1" applyBorder="1" applyAlignment="1">
      <alignment horizontal="left" vertical="center"/>
    </xf>
    <xf numFmtId="173" fontId="8" fillId="0" borderId="4" xfId="0" applyNumberFormat="1" applyFont="1" applyBorder="1" applyAlignment="1">
      <alignment horizontal="right" vertical="center"/>
    </xf>
    <xf numFmtId="173" fontId="8" fillId="0" borderId="5" xfId="0" applyNumberFormat="1" applyFont="1" applyBorder="1" applyAlignment="1">
      <alignment horizontal="left" vertical="center"/>
    </xf>
    <xf numFmtId="4" fontId="7" fillId="0" borderId="21" xfId="0" applyFont="1" applyBorder="1" applyAlignment="1">
      <alignment horizontal="center" wrapText="1"/>
    </xf>
    <xf numFmtId="4" fontId="8" fillId="0" borderId="15" xfId="0" applyFont="1" applyBorder="1" applyAlignment="1">
      <alignment horizontal="center" vertical="center"/>
    </xf>
    <xf numFmtId="184" fontId="8" fillId="0" borderId="4" xfId="0" applyNumberFormat="1" applyFont="1" applyBorder="1" applyAlignment="1">
      <alignment horizontal="center" vertical="center"/>
    </xf>
    <xf numFmtId="184" fontId="8" fillId="0" borderId="15" xfId="0" applyNumberFormat="1" applyFont="1" applyBorder="1" applyAlignment="1">
      <alignment horizontal="center" vertical="center"/>
    </xf>
    <xf numFmtId="4" fontId="8" fillId="0" borderId="24" xfId="0" applyFont="1" applyBorder="1" applyAlignment="1">
      <alignment horizontal="right" vertical="center"/>
    </xf>
    <xf numFmtId="185" fontId="8" fillId="0" borderId="14" xfId="0" applyNumberFormat="1" applyFont="1" applyBorder="1" applyAlignment="1">
      <alignment horizontal="left" vertical="center"/>
    </xf>
    <xf numFmtId="173" fontId="8" fillId="0" borderId="25" xfId="0" applyNumberFormat="1" applyFont="1" applyBorder="1" applyAlignment="1">
      <alignment horizontal="right" vertical="center"/>
    </xf>
    <xf numFmtId="185" fontId="8" fillId="0" borderId="26" xfId="0" applyNumberFormat="1" applyFont="1" applyBorder="1" applyAlignment="1">
      <alignment horizontal="center" vertical="center"/>
    </xf>
    <xf numFmtId="185" fontId="8" fillId="0" borderId="5" xfId="0" applyNumberFormat="1" applyFont="1" applyBorder="1" applyAlignment="1">
      <alignment horizontal="left" vertical="center"/>
    </xf>
    <xf numFmtId="4" fontId="8" fillId="0" borderId="2" xfId="0" applyFont="1" applyBorder="1" applyAlignment="1">
      <alignment vertical="center"/>
    </xf>
    <xf numFmtId="185" fontId="8" fillId="0" borderId="13" xfId="0" applyNumberFormat="1" applyFont="1" applyBorder="1" applyAlignment="1">
      <alignment horizontal="center" vertical="center"/>
    </xf>
    <xf numFmtId="185" fontId="8" fillId="0" borderId="3" xfId="0" applyNumberFormat="1" applyFont="1" applyBorder="1" applyAlignment="1">
      <alignment horizontal="center" vertical="center"/>
    </xf>
    <xf numFmtId="4" fontId="8" fillId="0" borderId="8" xfId="0" applyFont="1" applyBorder="1" applyAlignment="1">
      <alignment vertical="center"/>
    </xf>
    <xf numFmtId="4" fontId="8" fillId="0" borderId="9" xfId="0" applyFont="1" applyBorder="1" applyAlignment="1">
      <alignment vertical="center"/>
    </xf>
    <xf numFmtId="185" fontId="8" fillId="0" borderId="9" xfId="0" applyNumberFormat="1" applyFont="1" applyBorder="1" applyAlignment="1">
      <alignment vertical="center"/>
    </xf>
    <xf numFmtId="4" fontId="8" fillId="0" borderId="4" xfId="0" applyFont="1" applyBorder="1" applyAlignment="1">
      <alignment vertical="center"/>
    </xf>
    <xf numFmtId="4" fontId="8" fillId="0" borderId="15" xfId="0" applyFont="1" applyBorder="1" applyAlignment="1">
      <alignment vertical="center"/>
    </xf>
    <xf numFmtId="4" fontId="8" fillId="0" borderId="5" xfId="0" applyFont="1" applyBorder="1" applyAlignment="1">
      <alignment vertical="center"/>
    </xf>
    <xf numFmtId="4" fontId="8" fillId="0" borderId="6" xfId="0" applyFont="1" applyBorder="1" applyAlignment="1">
      <alignment horizontal="right"/>
    </xf>
    <xf numFmtId="4" fontId="9" fillId="0" borderId="19" xfId="0" applyFont="1" applyBorder="1" applyAlignment="1">
      <alignment horizontal="right"/>
    </xf>
    <xf numFmtId="185" fontId="8" fillId="0" borderId="7" xfId="0" applyNumberFormat="1" applyFont="1" applyBorder="1" applyAlignment="1">
      <alignment horizontal="center" vertical="center"/>
    </xf>
    <xf numFmtId="4" fontId="8" fillId="0" borderId="20" xfId="0" applyFont="1" applyBorder="1" applyAlignment="1">
      <alignment horizontal="center" vertical="center"/>
    </xf>
    <xf numFmtId="4" fontId="8" fillId="0" borderId="8" xfId="0" applyFont="1" applyBorder="1" applyAlignment="1">
      <alignment horizontal="center" vertical="center"/>
    </xf>
    <xf numFmtId="4" fontId="8" fillId="0" borderId="8" xfId="0" applyFont="1" applyBorder="1" applyAlignment="1">
      <alignment horizontal="right" vertical="center"/>
    </xf>
    <xf numFmtId="4" fontId="8" fillId="0" borderId="4" xfId="0" applyFont="1" applyBorder="1" applyAlignment="1">
      <alignment horizontal="left" vertical="center"/>
    </xf>
    <xf numFmtId="185" fontId="8" fillId="0" borderId="15" xfId="0" applyNumberFormat="1" applyFont="1" applyBorder="1" applyAlignment="1">
      <alignment horizontal="left" vertical="center"/>
    </xf>
    <xf numFmtId="185" fontId="8" fillId="0" borderId="15" xfId="0" applyNumberFormat="1" applyFont="1" applyBorder="1" applyAlignment="1">
      <alignment horizontal="left" vertical="center"/>
    </xf>
    <xf numFmtId="4" fontId="8" fillId="0" borderId="15" xfId="0" applyFont="1" applyBorder="1" applyAlignment="1">
      <alignment horizontal="left" vertical="center"/>
    </xf>
    <xf numFmtId="4" fontId="8" fillId="0" borderId="23" xfId="0" applyFont="1" applyBorder="1" applyAlignment="1">
      <alignment horizontal="center" vertical="center"/>
    </xf>
    <xf numFmtId="185" fontId="8" fillId="0" borderId="15" xfId="0" applyNumberFormat="1" applyFont="1" applyBorder="1" applyAlignment="1">
      <alignment horizontal="center" vertical="center"/>
    </xf>
    <xf numFmtId="4" fontId="8" fillId="0" borderId="3" xfId="0" applyFont="1" applyBorder="1" applyAlignment="1">
      <alignment horizontal="center" vertical="center"/>
    </xf>
    <xf numFmtId="185" fontId="8" fillId="0" borderId="15" xfId="0" applyNumberFormat="1" applyFont="1" applyBorder="1" applyAlignment="1">
      <alignment horizontal="left" vertical="center"/>
    </xf>
    <xf numFmtId="4" fontId="9" fillId="0" borderId="6" xfId="0" applyFont="1" applyBorder="1" applyAlignment="1">
      <alignment horizontal="right"/>
    </xf>
    <xf numFmtId="173" fontId="8" fillId="0" borderId="7" xfId="0" applyNumberFormat="1" applyFont="1" applyBorder="1" applyAlignment="1">
      <alignment horizontal="left" vertical="center"/>
    </xf>
    <xf numFmtId="4" fontId="8" fillId="0" borderId="6" xfId="0" applyFont="1" applyBorder="1" applyAlignment="1">
      <alignment horizontal="right" vertical="center"/>
    </xf>
    <xf numFmtId="4" fontId="8" fillId="0" borderId="7" xfId="0" applyFont="1" applyBorder="1" applyAlignment="1">
      <alignment horizontal="left" vertical="center"/>
    </xf>
    <xf numFmtId="4" fontId="8" fillId="0" borderId="2" xfId="0" applyFont="1" applyBorder="1" applyAlignment="1">
      <alignment horizontal="right" vertical="center"/>
    </xf>
    <xf numFmtId="173" fontId="8" fillId="0" borderId="3" xfId="0" applyNumberFormat="1" applyFont="1" applyBorder="1" applyAlignment="1">
      <alignment horizontal="left" vertical="center"/>
    </xf>
    <xf numFmtId="173" fontId="8" fillId="0" borderId="9" xfId="0" applyNumberFormat="1" applyFont="1" applyBorder="1" applyAlignment="1">
      <alignment horizontal="left" vertical="center"/>
    </xf>
    <xf numFmtId="4" fontId="8" fillId="0" borderId="4" xfId="0" applyFont="1" applyBorder="1" applyAlignment="1">
      <alignment horizontal="right" vertical="center"/>
    </xf>
    <xf numFmtId="4" fontId="1" fillId="0" borderId="0" xfId="0" applyFont="1" applyAlignment="1">
      <alignment horizontal="center" vertical="top" wrapText="1"/>
    </xf>
    <xf numFmtId="4" fontId="0" fillId="0" borderId="1" xfId="0" applyFont="1" applyBorder="1" applyAlignment="1">
      <alignment horizontal="center" vertical="center"/>
    </xf>
    <xf numFmtId="4" fontId="0" fillId="0" borderId="0" xfId="0" applyFont="1" applyBorder="1" applyAlignment="1">
      <alignment horizontal="center" vertical="center"/>
    </xf>
    <xf numFmtId="4" fontId="0" fillId="0" borderId="13" xfId="0" applyFont="1" applyBorder="1" applyAlignment="1">
      <alignment horizontal="center" vertical="center"/>
    </xf>
    <xf numFmtId="4" fontId="0" fillId="0" borderId="3" xfId="0" applyFont="1" applyBorder="1" applyAlignment="1">
      <alignment horizontal="center" vertical="center"/>
    </xf>
    <xf numFmtId="173" fontId="8" fillId="0" borderId="27" xfId="0" applyNumberFormat="1" applyFont="1" applyBorder="1" applyAlignment="1">
      <alignment horizontal="right" vertical="center"/>
    </xf>
    <xf numFmtId="173" fontId="8" fillId="0" borderId="24" xfId="0" applyNumberFormat="1" applyFont="1" applyBorder="1" applyAlignment="1">
      <alignment horizontal="right" vertical="center"/>
    </xf>
    <xf numFmtId="185" fontId="8" fillId="0" borderId="28" xfId="0" applyNumberFormat="1" applyFont="1" applyBorder="1" applyAlignment="1">
      <alignment horizontal="left" vertical="center"/>
    </xf>
    <xf numFmtId="185" fontId="8" fillId="0" borderId="29" xfId="0" applyNumberFormat="1" applyFont="1" applyBorder="1" applyAlignment="1">
      <alignment horizontal="left" vertical="center"/>
    </xf>
    <xf numFmtId="173" fontId="0" fillId="0" borderId="8" xfId="0" applyNumberFormat="1" applyFont="1" applyBorder="1" applyAlignment="1">
      <alignment horizontal="center" wrapText="1"/>
    </xf>
    <xf numFmtId="173" fontId="0" fillId="0" borderId="4" xfId="0" applyNumberFormat="1" applyFont="1" applyBorder="1" applyAlignment="1">
      <alignment horizontal="center" wrapText="1"/>
    </xf>
    <xf numFmtId="173" fontId="0" fillId="0" borderId="0" xfId="0" applyNumberFormat="1" applyFont="1" applyBorder="1" applyAlignment="1">
      <alignment horizontal="center" wrapText="1"/>
    </xf>
    <xf numFmtId="173" fontId="8" fillId="0" borderId="0" xfId="0" applyNumberFormat="1" applyFont="1" applyBorder="1" applyAlignment="1">
      <alignment horizontal="left" vertical="center"/>
    </xf>
    <xf numFmtId="173" fontId="8" fillId="0" borderId="0" xfId="0" applyNumberFormat="1" applyFont="1" applyBorder="1" applyAlignment="1">
      <alignment horizontal="left" vertical="center"/>
    </xf>
    <xf numFmtId="173" fontId="8" fillId="0" borderId="5" xfId="0" applyNumberFormat="1" applyFont="1" applyBorder="1" applyAlignment="1">
      <alignment horizontal="center" vertical="center"/>
    </xf>
    <xf numFmtId="4" fontId="9" fillId="0" borderId="6" xfId="0" applyFont="1" applyBorder="1" applyAlignment="1">
      <alignment horizontal="right" vertical="center"/>
    </xf>
    <xf numFmtId="185" fontId="8" fillId="0" borderId="4" xfId="0" applyNumberFormat="1" applyFont="1" applyBorder="1" applyAlignment="1">
      <alignment horizontal="center" vertical="center"/>
    </xf>
  </cellXfs>
  <cellStyles count="13">
    <cellStyle name="Normal" xfId="0"/>
    <cellStyle name="Comma" xfId="15"/>
    <cellStyle name="Comma [0]" xfId="16"/>
    <cellStyle name="Comma [0]_Exam 4 actual" xfId="17"/>
    <cellStyle name="Comma_Exam 4 actual" xfId="18"/>
    <cellStyle name="Currency" xfId="19"/>
    <cellStyle name="Currency [0]" xfId="20"/>
    <cellStyle name="Currency [0]_Exam 4 actual" xfId="21"/>
    <cellStyle name="Currency_Exam 4 actual" xfId="22"/>
    <cellStyle name="Followed Hyperlink" xfId="23"/>
    <cellStyle name="Hyperlink" xfId="24"/>
    <cellStyle name="Normal_Exam 4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59</xdr:row>
      <xdr:rowOff>104775</xdr:rowOff>
    </xdr:from>
    <xdr:to>
      <xdr:col>4</xdr:col>
      <xdr:colOff>981075</xdr:colOff>
      <xdr:row>84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1258550"/>
          <a:ext cx="3895725" cy="452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6"/>
  <sheetViews>
    <sheetView zoomScale="125" zoomScaleNormal="125" workbookViewId="0" topLeftCell="A1">
      <selection activeCell="D30" sqref="D30"/>
    </sheetView>
  </sheetViews>
  <sheetFormatPr defaultColWidth="11.00390625" defaultRowHeight="12.75"/>
  <cols>
    <col min="1" max="1" width="4.375" style="7" customWidth="1"/>
    <col min="2" max="2" width="22.625" style="7" customWidth="1"/>
    <col min="3" max="6" width="18.375" style="7" customWidth="1"/>
    <col min="7" max="8" width="11.00390625" style="7" customWidth="1"/>
    <col min="9" max="16384" width="10.75390625" style="7" customWidth="1"/>
  </cols>
  <sheetData>
    <row r="1" ht="13.5" thickBot="1"/>
    <row r="2" spans="1:6" ht="12.75">
      <c r="A2" s="1" t="s">
        <v>350</v>
      </c>
      <c r="B2" s="87" t="s">
        <v>436</v>
      </c>
      <c r="C2" s="93"/>
      <c r="D2" s="93"/>
      <c r="E2" s="93"/>
      <c r="F2" s="94"/>
    </row>
    <row r="3" spans="2:8" ht="12.75">
      <c r="B3" s="95"/>
      <c r="C3" s="62" t="s">
        <v>440</v>
      </c>
      <c r="D3" s="77" t="s">
        <v>437</v>
      </c>
      <c r="E3" s="77" t="s">
        <v>438</v>
      </c>
      <c r="F3" s="96" t="s">
        <v>226</v>
      </c>
      <c r="H3" s="6"/>
    </row>
    <row r="4" spans="1:8" ht="13.5" thickBot="1">
      <c r="A4" s="61"/>
      <c r="B4" s="80"/>
      <c r="C4" s="97">
        <v>2</v>
      </c>
      <c r="D4" s="97">
        <v>10</v>
      </c>
      <c r="E4" s="97">
        <v>1</v>
      </c>
      <c r="F4" s="98">
        <v>3</v>
      </c>
      <c r="H4" s="6"/>
    </row>
    <row r="5" spans="1:2" ht="12.75">
      <c r="A5" s="61"/>
      <c r="B5" s="4" t="s">
        <v>439</v>
      </c>
    </row>
    <row r="6" spans="1:8" ht="12.75">
      <c r="A6" s="61"/>
      <c r="B6" s="76" t="s">
        <v>238</v>
      </c>
      <c r="C6" s="62" t="s">
        <v>351</v>
      </c>
      <c r="D6" s="62" t="s">
        <v>352</v>
      </c>
      <c r="E6" s="62" t="s">
        <v>130</v>
      </c>
      <c r="F6" s="62" t="s">
        <v>131</v>
      </c>
      <c r="G6" s="2"/>
      <c r="H6" s="2"/>
    </row>
    <row r="7" spans="2:8" ht="12.75">
      <c r="B7" s="2">
        <f aca="true" ca="1" t="shared" si="0" ref="B7:B14">NORMSINV(RAND())*$C$4</f>
        <v>-1.272585170038825</v>
      </c>
      <c r="C7" s="6">
        <v>1</v>
      </c>
      <c r="D7" s="63">
        <f aca="true" ca="1" t="shared" si="1" ref="D7:D14">ROUND($D$4+$B7+NORMSINV(RAND())*$E$4,1)+$F$4</f>
        <v>13</v>
      </c>
      <c r="E7" s="63">
        <f aca="true" ca="1" t="shared" si="2" ref="E7:E14">ROUND($D$4+$B7+NORMSINV(RAND())*$E$4,1)</f>
        <v>9.1</v>
      </c>
      <c r="F7" s="63">
        <f>D7-E7</f>
        <v>3.9000000000000004</v>
      </c>
      <c r="G7" s="2"/>
      <c r="H7" s="2"/>
    </row>
    <row r="8" spans="1:8" ht="12.75">
      <c r="A8" s="61"/>
      <c r="B8" s="2">
        <f ca="1" t="shared" si="0"/>
        <v>0.6360011207059997</v>
      </c>
      <c r="C8" s="6">
        <v>2</v>
      </c>
      <c r="D8" s="63">
        <f ca="1" t="shared" si="1"/>
        <v>12.7</v>
      </c>
      <c r="E8" s="63">
        <f ca="1" t="shared" si="2"/>
        <v>9.8</v>
      </c>
      <c r="F8" s="63">
        <f aca="true" t="shared" si="3" ref="F8:F14">D8-E8</f>
        <v>2.8999999999999986</v>
      </c>
      <c r="G8" s="2"/>
      <c r="H8" s="2"/>
    </row>
    <row r="9" spans="1:8" ht="12.75">
      <c r="A9" s="61"/>
      <c r="B9" s="2">
        <f ca="1" t="shared" si="0"/>
        <v>-7.206686204716549</v>
      </c>
      <c r="C9" s="6">
        <v>3</v>
      </c>
      <c r="D9" s="63">
        <f ca="1" t="shared" si="1"/>
        <v>5.7</v>
      </c>
      <c r="E9" s="63">
        <f ca="1" t="shared" si="2"/>
        <v>3.2</v>
      </c>
      <c r="F9" s="63">
        <f t="shared" si="3"/>
        <v>2.5</v>
      </c>
      <c r="G9" s="2"/>
      <c r="H9" s="2"/>
    </row>
    <row r="10" spans="2:8" ht="12.75">
      <c r="B10" s="2">
        <f ca="1" t="shared" si="0"/>
        <v>-1.8316159548553976</v>
      </c>
      <c r="C10" s="6">
        <v>4</v>
      </c>
      <c r="D10" s="63">
        <f ca="1" t="shared" si="1"/>
        <v>10.1</v>
      </c>
      <c r="E10" s="63">
        <f ca="1" t="shared" si="2"/>
        <v>9.3</v>
      </c>
      <c r="F10" s="63">
        <f t="shared" si="3"/>
        <v>0.7999999999999989</v>
      </c>
      <c r="G10" s="2"/>
      <c r="H10" s="2"/>
    </row>
    <row r="11" spans="2:8" ht="12.75">
      <c r="B11" s="2">
        <f ca="1" t="shared" si="0"/>
        <v>3.38643697743733</v>
      </c>
      <c r="C11" s="6">
        <v>5</v>
      </c>
      <c r="D11" s="63">
        <f ca="1" t="shared" si="1"/>
        <v>16.7</v>
      </c>
      <c r="E11" s="63">
        <f ca="1" t="shared" si="2"/>
        <v>12.8</v>
      </c>
      <c r="F11" s="63">
        <f t="shared" si="3"/>
        <v>3.8999999999999986</v>
      </c>
      <c r="G11" s="2"/>
      <c r="H11" s="2"/>
    </row>
    <row r="12" spans="2:8" ht="12.75">
      <c r="B12" s="2">
        <f ca="1" t="shared" si="0"/>
        <v>3.0691551316054486</v>
      </c>
      <c r="C12" s="6">
        <v>6</v>
      </c>
      <c r="D12" s="63">
        <f ca="1" t="shared" si="1"/>
        <v>16.4</v>
      </c>
      <c r="E12" s="63">
        <f ca="1" t="shared" si="2"/>
        <v>12.7</v>
      </c>
      <c r="F12" s="63">
        <f t="shared" si="3"/>
        <v>3.6999999999999993</v>
      </c>
      <c r="G12" s="2"/>
      <c r="H12" s="2"/>
    </row>
    <row r="13" spans="2:8" ht="12.75">
      <c r="B13" s="2">
        <f ca="1" t="shared" si="0"/>
        <v>-0.43276357252894115</v>
      </c>
      <c r="C13" s="6">
        <v>7</v>
      </c>
      <c r="D13" s="63">
        <f ca="1" t="shared" si="1"/>
        <v>11.2</v>
      </c>
      <c r="E13" s="63">
        <f ca="1" t="shared" si="2"/>
        <v>10.2</v>
      </c>
      <c r="F13" s="63">
        <f t="shared" si="3"/>
        <v>1</v>
      </c>
      <c r="G13" s="2"/>
      <c r="H13" s="2"/>
    </row>
    <row r="14" spans="2:6" ht="12.75">
      <c r="B14" s="64">
        <f ca="1" t="shared" si="0"/>
        <v>3.992122014129893</v>
      </c>
      <c r="C14" s="62">
        <v>8</v>
      </c>
      <c r="D14" s="65">
        <f ca="1" t="shared" si="1"/>
        <v>17.1</v>
      </c>
      <c r="E14" s="65">
        <f ca="1" t="shared" si="2"/>
        <v>14.3</v>
      </c>
      <c r="F14" s="65">
        <f t="shared" si="3"/>
        <v>2.8000000000000007</v>
      </c>
    </row>
    <row r="15" spans="2:5" ht="12.75">
      <c r="B15" s="6"/>
      <c r="C15" s="66"/>
      <c r="D15" s="66"/>
      <c r="E15" s="6"/>
    </row>
    <row r="16" spans="2:6" ht="12.75">
      <c r="B16" s="6"/>
      <c r="C16" s="73" t="s">
        <v>236</v>
      </c>
      <c r="D16" s="6">
        <f>COUNT(D7:D14)</f>
        <v>8</v>
      </c>
      <c r="E16" s="6">
        <f>COUNT(E7:E14)</f>
        <v>8</v>
      </c>
      <c r="F16" s="6">
        <f>COUNT(F7:F14)</f>
        <v>8</v>
      </c>
    </row>
    <row r="17" spans="2:6" ht="12.75">
      <c r="B17" s="6"/>
      <c r="C17" s="73" t="s">
        <v>140</v>
      </c>
      <c r="D17" s="6">
        <f>D16-1</f>
        <v>7</v>
      </c>
      <c r="E17" s="6">
        <f>E16-1</f>
        <v>7</v>
      </c>
      <c r="F17" s="6">
        <f>F16-1</f>
        <v>7</v>
      </c>
    </row>
    <row r="18" spans="2:6" ht="12.75">
      <c r="B18" s="6"/>
      <c r="C18" s="73" t="s">
        <v>237</v>
      </c>
      <c r="D18" s="63">
        <f>SUM(D7:D14)</f>
        <v>102.9</v>
      </c>
      <c r="E18" s="63">
        <f>SUM(E7:E14)</f>
        <v>81.4</v>
      </c>
      <c r="F18" s="63">
        <f>SUM(F7:F14)</f>
        <v>21.499999999999996</v>
      </c>
    </row>
    <row r="19" spans="2:6" ht="12.75">
      <c r="B19" s="6"/>
      <c r="C19" s="7" t="s">
        <v>132</v>
      </c>
      <c r="D19" s="5">
        <f>AVERAGE(D7:D14)</f>
        <v>12.8625</v>
      </c>
      <c r="E19" s="5">
        <f>AVERAGE(E7:E14)</f>
        <v>10.175</v>
      </c>
      <c r="F19" s="5">
        <f>AVERAGE(F7:F14)</f>
        <v>2.6874999999999996</v>
      </c>
    </row>
    <row r="20" spans="2:6" ht="12.75">
      <c r="B20" s="6"/>
      <c r="C20" s="7" t="s">
        <v>235</v>
      </c>
      <c r="D20" s="5">
        <f>SUMSQ(D7:D14)-D18^2/D16</f>
        <v>106.9387499999998</v>
      </c>
      <c r="E20" s="5">
        <f>SUMSQ(E7:E14)-E18^2/E16</f>
        <v>80.99499999999989</v>
      </c>
      <c r="F20" s="5">
        <f>SUMSQ(F7:F14)-F18^2/F16</f>
        <v>10.468749999999993</v>
      </c>
    </row>
    <row r="21" spans="2:6" ht="12.75">
      <c r="B21" s="6"/>
      <c r="C21" s="7" t="s">
        <v>348</v>
      </c>
      <c r="D21" s="5">
        <f>D20/D17</f>
        <v>15.276964285714257</v>
      </c>
      <c r="E21" s="5">
        <f>E20/E17</f>
        <v>11.57071428571427</v>
      </c>
      <c r="F21" s="5">
        <f>F20/F17</f>
        <v>1.4955357142857133</v>
      </c>
    </row>
    <row r="22" spans="2:6" ht="12.75">
      <c r="B22" s="6"/>
      <c r="C22" s="7" t="s">
        <v>219</v>
      </c>
      <c r="D22" s="5">
        <f>SQRT(D21/D16)</f>
        <v>1.3818902039287644</v>
      </c>
      <c r="E22" s="5">
        <f>SQRT(E21/E16)</f>
        <v>1.2026384684161253</v>
      </c>
      <c r="F22" s="5">
        <f>SQRT(F21/F16)</f>
        <v>0.432367857600116</v>
      </c>
    </row>
    <row r="23" spans="2:5" ht="12.75">
      <c r="B23" s="6"/>
      <c r="C23" s="5"/>
      <c r="D23" s="6"/>
      <c r="E23" s="6"/>
    </row>
    <row r="24" spans="1:5" ht="12.75">
      <c r="A24" s="7" t="s">
        <v>133</v>
      </c>
      <c r="B24" s="4" t="s">
        <v>441</v>
      </c>
      <c r="C24" s="5"/>
      <c r="D24" s="6"/>
      <c r="E24" s="6"/>
    </row>
    <row r="25" spans="2:5" ht="12.75">
      <c r="B25" s="7" t="s">
        <v>217</v>
      </c>
      <c r="C25" s="3">
        <f>F20/F17</f>
        <v>1.4955357142857133</v>
      </c>
      <c r="D25" s="6"/>
      <c r="E25" s="6"/>
    </row>
    <row r="26" spans="2:5" ht="12.75">
      <c r="B26" s="7" t="s">
        <v>216</v>
      </c>
      <c r="C26" s="7" t="s">
        <v>264</v>
      </c>
      <c r="D26" s="3">
        <f>SQRT(F22/F16)</f>
        <v>0.2324779176610426</v>
      </c>
      <c r="E26" s="6"/>
    </row>
    <row r="27" spans="2:5" ht="12.75">
      <c r="B27" s="6"/>
      <c r="C27" s="3"/>
      <c r="D27" s="6"/>
      <c r="E27" s="6"/>
    </row>
    <row r="28" spans="2:5" ht="12.75">
      <c r="B28" s="75" t="s">
        <v>86</v>
      </c>
      <c r="C28" s="74">
        <v>0.05</v>
      </c>
      <c r="D28" s="5"/>
      <c r="E28" s="6"/>
    </row>
    <row r="29" spans="3:5" ht="12.75">
      <c r="C29" s="4"/>
      <c r="D29" s="6"/>
      <c r="E29" s="6"/>
    </row>
    <row r="30" spans="2:5" ht="12.75">
      <c r="B30" s="7" t="s">
        <v>134</v>
      </c>
      <c r="C30" s="3" t="s">
        <v>135</v>
      </c>
      <c r="D30" s="6"/>
      <c r="E30" s="6"/>
    </row>
    <row r="31" spans="2:5" ht="12.75">
      <c r="B31" s="7" t="s">
        <v>136</v>
      </c>
      <c r="C31" s="3" t="s">
        <v>137</v>
      </c>
      <c r="D31" s="6"/>
      <c r="E31" s="6"/>
    </row>
    <row r="32" spans="3:5" ht="12.75">
      <c r="C32" s="3"/>
      <c r="D32" s="6"/>
      <c r="E32" s="6"/>
    </row>
    <row r="33" spans="2:5" ht="12.75">
      <c r="B33" s="7" t="s">
        <v>212</v>
      </c>
      <c r="C33" s="3" t="s">
        <v>138</v>
      </c>
      <c r="D33" s="6"/>
      <c r="E33" s="6"/>
    </row>
    <row r="34" spans="2:5" ht="12.75">
      <c r="B34" s="6"/>
      <c r="C34" s="3"/>
      <c r="D34" s="6"/>
      <c r="E34" s="6"/>
    </row>
    <row r="35" spans="2:5" ht="12.75">
      <c r="B35" s="4" t="s">
        <v>139</v>
      </c>
      <c r="C35" s="3"/>
      <c r="D35" s="6"/>
      <c r="E35" s="6"/>
    </row>
    <row r="36" spans="2:5" ht="12.75">
      <c r="B36" s="75" t="s">
        <v>142</v>
      </c>
      <c r="C36" s="3">
        <v>0</v>
      </c>
      <c r="E36" s="6"/>
    </row>
    <row r="37" spans="2:5" ht="12.75">
      <c r="B37" s="7" t="s">
        <v>239</v>
      </c>
      <c r="C37" s="3">
        <f>D26</f>
        <v>0.2324779176610426</v>
      </c>
      <c r="E37" s="6"/>
    </row>
    <row r="38" ht="12.75">
      <c r="C38" s="3"/>
    </row>
    <row r="39" spans="1:8" ht="12.75">
      <c r="A39" s="4"/>
      <c r="B39" s="7" t="s">
        <v>140</v>
      </c>
      <c r="C39" s="4">
        <f>F17</f>
        <v>7</v>
      </c>
      <c r="D39" s="6"/>
      <c r="E39" s="6"/>
      <c r="F39" s="6"/>
      <c r="H39" s="4"/>
    </row>
    <row r="40" spans="1:5" ht="12.75">
      <c r="A40" s="61"/>
      <c r="B40" s="7" t="s">
        <v>141</v>
      </c>
      <c r="C40" s="3">
        <f>(F19-C36)/C37</f>
        <v>11.560237750918038</v>
      </c>
      <c r="E40" s="3"/>
    </row>
    <row r="41" spans="2:4" ht="12.75">
      <c r="B41" s="2" t="s">
        <v>209</v>
      </c>
      <c r="C41" s="3">
        <f>TINV(C28*2,C39)</f>
        <v>1.894578603655801</v>
      </c>
      <c r="D41" s="2"/>
    </row>
    <row r="42" spans="2:3" ht="12.75">
      <c r="B42" s="7" t="s">
        <v>210</v>
      </c>
      <c r="C42" s="3"/>
    </row>
    <row r="43" ht="12.75">
      <c r="C43" s="3"/>
    </row>
    <row r="44" spans="2:3" ht="12.75">
      <c r="B44" s="7" t="s">
        <v>143</v>
      </c>
      <c r="C44" s="4">
        <v>90</v>
      </c>
    </row>
    <row r="45" spans="2:3" ht="12.75">
      <c r="B45" s="7" t="s">
        <v>144</v>
      </c>
      <c r="C45" s="4">
        <f>F17</f>
        <v>7</v>
      </c>
    </row>
    <row r="46" spans="3:8" ht="12.75">
      <c r="C46" s="76" t="s">
        <v>145</v>
      </c>
      <c r="D46" s="62" t="s">
        <v>322</v>
      </c>
      <c r="E46" s="62" t="s">
        <v>323</v>
      </c>
      <c r="F46" s="62" t="s">
        <v>324</v>
      </c>
      <c r="G46" s="62" t="s">
        <v>325</v>
      </c>
      <c r="H46" s="62" t="s">
        <v>326</v>
      </c>
    </row>
    <row r="47" spans="3:8" ht="12.75">
      <c r="C47" s="2">
        <f>F19</f>
        <v>2.6874999999999996</v>
      </c>
      <c r="D47" s="5">
        <f>C37</f>
        <v>0.2324779176610426</v>
      </c>
      <c r="E47" s="5">
        <f>TINV(1-C44/100,C45)</f>
        <v>1.8945786036558019</v>
      </c>
      <c r="F47" s="5">
        <f>D47*E47</f>
        <v>0.44044768862306655</v>
      </c>
      <c r="G47" s="5">
        <f>C47+F47</f>
        <v>3.127947688623066</v>
      </c>
      <c r="H47" s="5">
        <f>C47-F47</f>
        <v>2.247052311376933</v>
      </c>
    </row>
    <row r="48" ht="12.75">
      <c r="C48" s="3"/>
    </row>
    <row r="49" spans="1:3" ht="12.75">
      <c r="A49" s="7" t="s">
        <v>211</v>
      </c>
      <c r="B49" s="4" t="s">
        <v>146</v>
      </c>
      <c r="C49" s="3"/>
    </row>
    <row r="50" spans="2:3" ht="12.75">
      <c r="B50" s="7" t="s">
        <v>217</v>
      </c>
      <c r="C50" s="3">
        <f>(D20+E20)/(D17+E17)</f>
        <v>13.423839285714264</v>
      </c>
    </row>
    <row r="51" spans="2:4" ht="12.75">
      <c r="B51" s="7" t="s">
        <v>216</v>
      </c>
      <c r="C51" s="7" t="s">
        <v>349</v>
      </c>
      <c r="D51" s="3">
        <f>SQRT(C50/D16+C50/E16)</f>
        <v>1.8319278974426274</v>
      </c>
    </row>
    <row r="52" ht="12.75">
      <c r="C52" s="3"/>
    </row>
    <row r="53" spans="2:3" ht="12.75">
      <c r="B53" s="75" t="s">
        <v>86</v>
      </c>
      <c r="C53" s="74">
        <v>0.05</v>
      </c>
    </row>
    <row r="54" spans="1:4" ht="12.75">
      <c r="A54" s="4"/>
      <c r="B54" s="2"/>
      <c r="C54" s="4"/>
      <c r="D54" s="69"/>
    </row>
    <row r="55" spans="2:3" ht="12.75">
      <c r="B55" s="7" t="s">
        <v>134</v>
      </c>
      <c r="C55" s="3" t="s">
        <v>135</v>
      </c>
    </row>
    <row r="56" spans="2:7" ht="12.75">
      <c r="B56" s="7" t="s">
        <v>136</v>
      </c>
      <c r="C56" s="3" t="s">
        <v>137</v>
      </c>
      <c r="D56" s="5"/>
      <c r="E56" s="6"/>
      <c r="F56" s="6"/>
      <c r="G56" s="6"/>
    </row>
    <row r="57" spans="3:8" ht="12.75">
      <c r="C57" s="3"/>
      <c r="D57" s="6"/>
      <c r="E57" s="6"/>
      <c r="F57" s="6"/>
      <c r="G57" s="6"/>
      <c r="H57" s="4"/>
    </row>
    <row r="58" spans="2:8" ht="12.75">
      <c r="B58" s="7" t="s">
        <v>212</v>
      </c>
      <c r="C58" s="3" t="s">
        <v>147</v>
      </c>
      <c r="D58" s="6"/>
      <c r="E58" s="6"/>
      <c r="F58" s="6"/>
      <c r="G58" s="6"/>
      <c r="H58" s="4"/>
    </row>
    <row r="59" spans="3:8" ht="12.75">
      <c r="C59" s="3"/>
      <c r="D59" s="6"/>
      <c r="E59" s="6"/>
      <c r="F59" s="6"/>
      <c r="G59" s="6"/>
      <c r="H59" s="4"/>
    </row>
    <row r="60" spans="2:5" ht="12.75">
      <c r="B60" s="4" t="s">
        <v>139</v>
      </c>
      <c r="C60" s="3"/>
      <c r="D60" s="6"/>
      <c r="E60" s="6"/>
    </row>
    <row r="61" spans="2:5" ht="12.75">
      <c r="B61" s="75" t="s">
        <v>142</v>
      </c>
      <c r="C61" s="3">
        <v>0</v>
      </c>
      <c r="E61" s="6"/>
    </row>
    <row r="62" spans="2:5" ht="12.75">
      <c r="B62" s="7" t="s">
        <v>349</v>
      </c>
      <c r="C62" s="3">
        <f>D51</f>
        <v>1.8319278974426274</v>
      </c>
      <c r="E62" s="6"/>
    </row>
    <row r="63" ht="12.75">
      <c r="C63" s="3"/>
    </row>
    <row r="64" spans="1:8" ht="12.75">
      <c r="A64" s="4"/>
      <c r="B64" s="7" t="s">
        <v>140</v>
      </c>
      <c r="C64" s="4">
        <f>D17+E17</f>
        <v>14</v>
      </c>
      <c r="D64" s="6"/>
      <c r="E64" s="6"/>
      <c r="F64" s="6"/>
      <c r="H64" s="4"/>
    </row>
    <row r="65" spans="1:8" ht="12.75">
      <c r="A65" s="61"/>
      <c r="B65" s="7" t="s">
        <v>141</v>
      </c>
      <c r="C65" s="3">
        <f>((D19-E19)-C61)/C62</f>
        <v>1.4670337210060242</v>
      </c>
      <c r="D65" s="5"/>
      <c r="E65" s="5"/>
      <c r="F65" s="5"/>
      <c r="G65" s="5"/>
      <c r="H65" s="3"/>
    </row>
    <row r="66" spans="2:8" ht="12.75">
      <c r="B66" s="2" t="s">
        <v>209</v>
      </c>
      <c r="C66" s="3">
        <f>TINV(C53*2,C64)</f>
        <v>1.7613101150619617</v>
      </c>
      <c r="D66" s="5"/>
      <c r="E66" s="5"/>
      <c r="F66" s="5"/>
      <c r="G66" s="5"/>
      <c r="H66" s="3"/>
    </row>
    <row r="67" spans="2:8" ht="12.75">
      <c r="B67" s="7" t="s">
        <v>442</v>
      </c>
      <c r="C67" s="70"/>
      <c r="D67" s="5"/>
      <c r="E67" s="5"/>
      <c r="F67" s="5"/>
      <c r="G67" s="5"/>
      <c r="H67" s="3"/>
    </row>
    <row r="68" spans="2:6" ht="12.75">
      <c r="B68" s="67"/>
      <c r="C68" s="5"/>
      <c r="D68" s="6"/>
      <c r="E68" s="71"/>
      <c r="F68" s="6"/>
    </row>
    <row r="69" spans="2:3" ht="12.75">
      <c r="B69" s="7" t="s">
        <v>143</v>
      </c>
      <c r="C69" s="4">
        <v>90</v>
      </c>
    </row>
    <row r="70" spans="2:3" ht="12.75">
      <c r="B70" s="7" t="s">
        <v>144</v>
      </c>
      <c r="C70" s="4">
        <f>C64</f>
        <v>14</v>
      </c>
    </row>
    <row r="71" spans="2:8" ht="12.75">
      <c r="B71" s="7" t="s">
        <v>55</v>
      </c>
      <c r="C71" s="76" t="s">
        <v>145</v>
      </c>
      <c r="D71" s="62" t="s">
        <v>322</v>
      </c>
      <c r="E71" s="62" t="s">
        <v>323</v>
      </c>
      <c r="F71" s="62" t="s">
        <v>324</v>
      </c>
      <c r="G71" s="62" t="s">
        <v>325</v>
      </c>
      <c r="H71" s="62" t="s">
        <v>326</v>
      </c>
    </row>
    <row r="72" spans="2:8" ht="12.75">
      <c r="B72" s="7" t="s">
        <v>218</v>
      </c>
      <c r="C72" s="68">
        <f>D19</f>
        <v>12.8625</v>
      </c>
      <c r="D72" s="5">
        <f>SQRT(C50/D16)</f>
        <v>1.295368638926496</v>
      </c>
      <c r="E72" s="5">
        <f>C66</f>
        <v>1.7613101150619617</v>
      </c>
      <c r="F72" s="5">
        <f>D72*E72</f>
        <v>2.2815458864752833</v>
      </c>
      <c r="G72" s="5">
        <f>C72+F72</f>
        <v>15.144045886475284</v>
      </c>
      <c r="H72" s="5">
        <f>C72-F72</f>
        <v>10.580954113524717</v>
      </c>
    </row>
    <row r="73" spans="2:8" ht="12.75">
      <c r="B73" s="7" t="s">
        <v>220</v>
      </c>
      <c r="C73" s="68">
        <f>E19</f>
        <v>10.175</v>
      </c>
      <c r="D73" s="5">
        <f>SQRT(C50/E16)</f>
        <v>1.295368638926496</v>
      </c>
      <c r="E73" s="5">
        <f>C66</f>
        <v>1.7613101150619617</v>
      </c>
      <c r="F73" s="5">
        <f>D73*E73</f>
        <v>2.2815458864752833</v>
      </c>
      <c r="G73" s="5">
        <f>C73+F73</f>
        <v>12.456545886475284</v>
      </c>
      <c r="H73" s="5">
        <f>C73-F73</f>
        <v>7.893454113524717</v>
      </c>
    </row>
    <row r="74" spans="2:8" ht="12.75">
      <c r="B74" s="2" t="s">
        <v>221</v>
      </c>
      <c r="C74" s="2">
        <f>C72-C73</f>
        <v>2.6875</v>
      </c>
      <c r="D74" s="5">
        <f>D51</f>
        <v>1.8319278974426274</v>
      </c>
      <c r="E74" s="5">
        <f>C66</f>
        <v>1.7613101150619617</v>
      </c>
      <c r="F74" s="5">
        <f>D74*E74</f>
        <v>3.2265931358298916</v>
      </c>
      <c r="G74" s="5">
        <f>C74+F74</f>
        <v>5.914093135829892</v>
      </c>
      <c r="H74" s="5">
        <f>C74-F74</f>
        <v>-0.5390931358298916</v>
      </c>
    </row>
    <row r="75" spans="2:5" ht="12.75">
      <c r="B75" s="2"/>
      <c r="C75" s="2"/>
      <c r="E75" s="69"/>
    </row>
    <row r="76" spans="2:3" ht="12.75">
      <c r="B76" s="3"/>
      <c r="C76" s="2"/>
    </row>
    <row r="77" spans="1:8" ht="12.75">
      <c r="A77" s="61" t="s">
        <v>222</v>
      </c>
      <c r="B77" s="3"/>
      <c r="C77" s="62" t="str">
        <f aca="true" t="shared" si="4" ref="C77:E85">C6</f>
        <v>Office</v>
      </c>
      <c r="D77" s="62" t="str">
        <f t="shared" si="4"/>
        <v>Wood (x1)</v>
      </c>
      <c r="E77" s="62" t="str">
        <f t="shared" si="4"/>
        <v>Metal (x2)</v>
      </c>
      <c r="F77" s="62"/>
      <c r="H77" s="72"/>
    </row>
    <row r="78" spans="2:6" ht="12.75">
      <c r="B78" s="3"/>
      <c r="C78" s="6">
        <f t="shared" si="4"/>
        <v>1</v>
      </c>
      <c r="D78" s="63">
        <f t="shared" si="4"/>
        <v>13</v>
      </c>
      <c r="E78" s="63">
        <f t="shared" si="4"/>
        <v>9.1</v>
      </c>
      <c r="F78" s="63"/>
    </row>
    <row r="79" spans="2:9" ht="12.75">
      <c r="B79" s="68"/>
      <c r="C79" s="6">
        <f t="shared" si="4"/>
        <v>2</v>
      </c>
      <c r="D79" s="63"/>
      <c r="E79" s="63">
        <f t="shared" si="4"/>
        <v>9.8</v>
      </c>
      <c r="F79" s="63"/>
      <c r="H79" s="2"/>
      <c r="I79" s="2"/>
    </row>
    <row r="80" spans="2:9" ht="12.75">
      <c r="B80" s="3"/>
      <c r="C80" s="6">
        <f t="shared" si="4"/>
        <v>3</v>
      </c>
      <c r="D80" s="63"/>
      <c r="E80" s="63">
        <f t="shared" si="4"/>
        <v>3.2</v>
      </c>
      <c r="F80" s="63"/>
      <c r="H80" s="2"/>
      <c r="I80" s="2"/>
    </row>
    <row r="81" spans="2:9" ht="12.75">
      <c r="B81" s="68"/>
      <c r="C81" s="6">
        <f t="shared" si="4"/>
        <v>4</v>
      </c>
      <c r="D81" s="63"/>
      <c r="E81" s="63">
        <f t="shared" si="4"/>
        <v>9.3</v>
      </c>
      <c r="F81" s="63"/>
      <c r="H81" s="2"/>
      <c r="I81" s="2"/>
    </row>
    <row r="82" spans="2:9" ht="12.75">
      <c r="B82" s="3"/>
      <c r="C82" s="6">
        <f t="shared" si="4"/>
        <v>5</v>
      </c>
      <c r="D82" s="63"/>
      <c r="E82" s="63">
        <f t="shared" si="4"/>
        <v>12.8</v>
      </c>
      <c r="F82" s="63"/>
      <c r="H82" s="2"/>
      <c r="I82" s="2"/>
    </row>
    <row r="83" spans="2:9" ht="12.75">
      <c r="B83" s="68"/>
      <c r="C83" s="6">
        <f t="shared" si="4"/>
        <v>6</v>
      </c>
      <c r="D83" s="63"/>
      <c r="E83" s="63">
        <f t="shared" si="4"/>
        <v>12.7</v>
      </c>
      <c r="F83" s="63"/>
      <c r="H83" s="2"/>
      <c r="I83" s="2"/>
    </row>
    <row r="84" spans="2:9" ht="12.75">
      <c r="B84" s="3"/>
      <c r="C84" s="6">
        <f t="shared" si="4"/>
        <v>7</v>
      </c>
      <c r="D84" s="63"/>
      <c r="E84" s="63">
        <f t="shared" si="4"/>
        <v>10.2</v>
      </c>
      <c r="F84" s="63"/>
      <c r="H84" s="2"/>
      <c r="I84" s="2"/>
    </row>
    <row r="85" spans="2:9" ht="12.75">
      <c r="B85" s="68"/>
      <c r="C85" s="62">
        <f t="shared" si="4"/>
        <v>8</v>
      </c>
      <c r="D85" s="65"/>
      <c r="E85" s="65">
        <f t="shared" si="4"/>
        <v>14.3</v>
      </c>
      <c r="F85" s="65"/>
      <c r="H85" s="2"/>
      <c r="I85" s="2"/>
    </row>
    <row r="86" spans="2:9" ht="12.75">
      <c r="B86" s="68"/>
      <c r="C86" s="73"/>
      <c r="D86" s="6"/>
      <c r="E86" s="6"/>
      <c r="F86" s="6"/>
      <c r="H86" s="2"/>
      <c r="I86" s="2"/>
    </row>
    <row r="87" spans="2:9" ht="12.75">
      <c r="B87" s="3"/>
      <c r="C87" s="73" t="s">
        <v>236</v>
      </c>
      <c r="D87" s="6">
        <f>COUNT(D78:D85)</f>
        <v>1</v>
      </c>
      <c r="E87" s="6">
        <f>COUNT(E78:E85)</f>
        <v>8</v>
      </c>
      <c r="F87" s="6"/>
      <c r="H87" s="2"/>
      <c r="I87" s="2"/>
    </row>
    <row r="88" spans="2:9" ht="12.75">
      <c r="B88" s="68"/>
      <c r="C88" s="73" t="s">
        <v>140</v>
      </c>
      <c r="D88" s="6">
        <f>D87-1</f>
        <v>0</v>
      </c>
      <c r="E88" s="6">
        <f>E87-1</f>
        <v>7</v>
      </c>
      <c r="F88" s="6"/>
      <c r="H88" s="2"/>
      <c r="I88" s="2"/>
    </row>
    <row r="89" spans="2:9" ht="12.75">
      <c r="B89" s="3"/>
      <c r="C89" s="73" t="s">
        <v>237</v>
      </c>
      <c r="D89" s="63">
        <f>SUM(D78:D85)</f>
        <v>13</v>
      </c>
      <c r="E89" s="63">
        <f>SUM(E78:E85)</f>
        <v>81.4</v>
      </c>
      <c r="F89" s="63"/>
      <c r="H89" s="2"/>
      <c r="I89" s="2"/>
    </row>
    <row r="90" spans="2:9" ht="12.75">
      <c r="B90" s="68"/>
      <c r="C90" s="7" t="s">
        <v>132</v>
      </c>
      <c r="D90" s="5">
        <f>AVERAGE(D78:D85)</f>
        <v>13</v>
      </c>
      <c r="E90" s="5">
        <f>AVERAGE(E78:E85)</f>
        <v>10.175</v>
      </c>
      <c r="F90" s="5"/>
      <c r="H90" s="2"/>
      <c r="I90" s="2"/>
    </row>
    <row r="91" spans="2:9" ht="12.75">
      <c r="B91" s="67"/>
      <c r="C91" s="7" t="s">
        <v>235</v>
      </c>
      <c r="D91" s="5">
        <f>SUMSQ(D78:D85)-D89^2/D87</f>
        <v>0</v>
      </c>
      <c r="E91" s="5">
        <f>SUMSQ(E78:E85)-E89^2/E87</f>
        <v>80.99499999999989</v>
      </c>
      <c r="F91" s="5"/>
      <c r="H91" s="69"/>
      <c r="I91" s="69"/>
    </row>
    <row r="92" spans="2:6" ht="12.75">
      <c r="B92" s="67"/>
      <c r="C92" s="7" t="s">
        <v>348</v>
      </c>
      <c r="D92" s="5" t="s">
        <v>225</v>
      </c>
      <c r="E92" s="5">
        <f>E91/E88</f>
        <v>11.57071428571427</v>
      </c>
      <c r="F92" s="5"/>
    </row>
    <row r="93" spans="2:8" ht="12.75">
      <c r="B93" s="4"/>
      <c r="C93" s="7" t="s">
        <v>219</v>
      </c>
      <c r="D93" s="5" t="s">
        <v>225</v>
      </c>
      <c r="E93" s="5">
        <f>SQRT(E92/E87)</f>
        <v>1.2026384684161253</v>
      </c>
      <c r="F93" s="5"/>
      <c r="G93" s="6"/>
      <c r="H93" s="6"/>
    </row>
    <row r="94" spans="2:8" ht="12.75">
      <c r="B94" s="6"/>
      <c r="C94" s="6"/>
      <c r="D94" s="6"/>
      <c r="E94" s="6"/>
      <c r="F94" s="6"/>
      <c r="G94" s="6"/>
      <c r="H94" s="6"/>
    </row>
    <row r="95" spans="1:10" ht="12.75">
      <c r="A95" s="7" t="s">
        <v>133</v>
      </c>
      <c r="B95" s="4" t="s">
        <v>146</v>
      </c>
      <c r="C95" s="3"/>
      <c r="I95" s="6"/>
      <c r="J95" s="6"/>
    </row>
    <row r="96" spans="2:10" ht="12.75">
      <c r="B96" s="7" t="s">
        <v>217</v>
      </c>
      <c r="C96" s="3">
        <f>(D91+E91)/(D88+E88)</f>
        <v>11.57071428571427</v>
      </c>
      <c r="I96" s="6"/>
      <c r="J96" s="6"/>
    </row>
    <row r="97" spans="2:10" ht="12.75">
      <c r="B97" s="7" t="s">
        <v>216</v>
      </c>
      <c r="C97" s="7" t="s">
        <v>349</v>
      </c>
      <c r="D97" s="3">
        <f>SQRT(C96/D87+C96/E87)</f>
        <v>3.6079154052483764</v>
      </c>
      <c r="I97" s="6"/>
      <c r="J97" s="6"/>
    </row>
    <row r="98" spans="3:10" ht="12.75">
      <c r="C98" s="3"/>
      <c r="I98" s="6"/>
      <c r="J98" s="6"/>
    </row>
    <row r="99" spans="2:10" ht="12.75">
      <c r="B99" s="75" t="s">
        <v>86</v>
      </c>
      <c r="C99" s="74">
        <v>0.05</v>
      </c>
      <c r="I99" s="6"/>
      <c r="J99" s="6"/>
    </row>
    <row r="100" spans="1:10" ht="12.75">
      <c r="A100" s="4"/>
      <c r="B100" s="2"/>
      <c r="C100" s="4"/>
      <c r="D100" s="69"/>
      <c r="I100" s="6"/>
      <c r="J100" s="6"/>
    </row>
    <row r="101" spans="2:10" ht="12.75">
      <c r="B101" s="7" t="s">
        <v>134</v>
      </c>
      <c r="C101" s="3" t="s">
        <v>135</v>
      </c>
      <c r="I101" s="6"/>
      <c r="J101" s="6"/>
    </row>
    <row r="102" spans="2:10" ht="12.75">
      <c r="B102" s="7" t="s">
        <v>136</v>
      </c>
      <c r="C102" s="3" t="s">
        <v>137</v>
      </c>
      <c r="D102" s="5"/>
      <c r="E102" s="6"/>
      <c r="F102" s="6"/>
      <c r="G102" s="6"/>
      <c r="I102" s="6"/>
      <c r="J102" s="6"/>
    </row>
    <row r="103" spans="3:10" ht="12.75">
      <c r="C103" s="3"/>
      <c r="D103" s="6"/>
      <c r="E103" s="6"/>
      <c r="F103" s="6"/>
      <c r="G103" s="6"/>
      <c r="H103" s="4"/>
      <c r="I103" s="6"/>
      <c r="J103" s="6"/>
    </row>
    <row r="104" spans="2:10" ht="12.75">
      <c r="B104" s="7" t="s">
        <v>212</v>
      </c>
      <c r="C104" s="3" t="s">
        <v>147</v>
      </c>
      <c r="D104" s="6"/>
      <c r="E104" s="6"/>
      <c r="F104" s="6"/>
      <c r="G104" s="6"/>
      <c r="H104" s="4"/>
      <c r="I104" s="6"/>
      <c r="J104" s="6"/>
    </row>
    <row r="105" spans="3:10" ht="12.75">
      <c r="C105" s="3"/>
      <c r="D105" s="6"/>
      <c r="E105" s="6"/>
      <c r="F105" s="6"/>
      <c r="G105" s="6"/>
      <c r="H105" s="4"/>
      <c r="I105" s="6"/>
      <c r="J105" s="6"/>
    </row>
    <row r="106" spans="2:10" ht="12.75">
      <c r="B106" s="4" t="s">
        <v>139</v>
      </c>
      <c r="C106" s="3"/>
      <c r="D106" s="6"/>
      <c r="E106" s="6"/>
      <c r="I106" s="6"/>
      <c r="J106" s="6"/>
    </row>
    <row r="107" spans="2:10" ht="12.75">
      <c r="B107" s="75" t="s">
        <v>142</v>
      </c>
      <c r="C107" s="3">
        <v>0</v>
      </c>
      <c r="E107" s="6"/>
      <c r="I107" s="6"/>
      <c r="J107" s="6"/>
    </row>
    <row r="108" spans="2:10" ht="12.75">
      <c r="B108" s="7" t="s">
        <v>349</v>
      </c>
      <c r="C108" s="3">
        <f>D97</f>
        <v>3.6079154052483764</v>
      </c>
      <c r="E108" s="6"/>
      <c r="I108" s="6"/>
      <c r="J108" s="6"/>
    </row>
    <row r="109" spans="3:10" ht="12.75">
      <c r="C109" s="3"/>
      <c r="I109" s="6"/>
      <c r="J109" s="6"/>
    </row>
    <row r="110" spans="1:10" ht="12.75">
      <c r="A110" s="4"/>
      <c r="B110" s="7" t="s">
        <v>140</v>
      </c>
      <c r="C110" s="4">
        <f>D88+E88</f>
        <v>7</v>
      </c>
      <c r="D110" s="6"/>
      <c r="E110" s="6"/>
      <c r="F110" s="6"/>
      <c r="H110" s="4"/>
      <c r="I110" s="6"/>
      <c r="J110" s="6"/>
    </row>
    <row r="111" spans="1:10" ht="12.75">
      <c r="A111" s="61"/>
      <c r="B111" s="7" t="s">
        <v>141</v>
      </c>
      <c r="C111" s="3">
        <f>((D90-E90)-C107)/C108</f>
        <v>0.7830006202170143</v>
      </c>
      <c r="D111" s="5"/>
      <c r="E111" s="5"/>
      <c r="F111" s="5"/>
      <c r="G111" s="5"/>
      <c r="H111" s="3"/>
      <c r="I111" s="6"/>
      <c r="J111" s="6"/>
    </row>
    <row r="112" spans="2:10" ht="12.75">
      <c r="B112" s="2" t="s">
        <v>209</v>
      </c>
      <c r="C112" s="3">
        <f>TINV(C99*2,C110)</f>
        <v>1.894578603655801</v>
      </c>
      <c r="D112" s="5"/>
      <c r="E112" s="5"/>
      <c r="F112" s="5"/>
      <c r="G112" s="5"/>
      <c r="H112" s="3"/>
      <c r="I112" s="6"/>
      <c r="J112" s="6"/>
    </row>
    <row r="113" spans="2:10" ht="12.75">
      <c r="B113" s="7" t="s">
        <v>442</v>
      </c>
      <c r="C113" s="70"/>
      <c r="D113" s="5"/>
      <c r="E113" s="5"/>
      <c r="F113" s="5"/>
      <c r="G113" s="5"/>
      <c r="H113" s="3"/>
      <c r="I113" s="6"/>
      <c r="J113" s="6"/>
    </row>
    <row r="114" spans="2:10" ht="12.75">
      <c r="B114" s="67"/>
      <c r="C114" s="5"/>
      <c r="D114" s="6"/>
      <c r="E114" s="71"/>
      <c r="F114" s="6"/>
      <c r="I114" s="6"/>
      <c r="J114" s="6"/>
    </row>
    <row r="115" spans="1:10" ht="12.75">
      <c r="A115" s="7" t="s">
        <v>211</v>
      </c>
      <c r="B115" s="7" t="s">
        <v>143</v>
      </c>
      <c r="C115" s="4">
        <v>90</v>
      </c>
      <c r="I115" s="6"/>
      <c r="J115" s="6"/>
    </row>
    <row r="116" spans="2:10" ht="12.75">
      <c r="B116" s="7" t="s">
        <v>144</v>
      </c>
      <c r="C116" s="4">
        <f>C110</f>
        <v>7</v>
      </c>
      <c r="I116" s="6"/>
      <c r="J116" s="6"/>
    </row>
    <row r="117" spans="2:10" ht="12.75">
      <c r="B117" s="7" t="s">
        <v>55</v>
      </c>
      <c r="C117" s="76" t="s">
        <v>145</v>
      </c>
      <c r="D117" s="62" t="s">
        <v>322</v>
      </c>
      <c r="E117" s="62" t="s">
        <v>323</v>
      </c>
      <c r="F117" s="62" t="s">
        <v>324</v>
      </c>
      <c r="G117" s="62" t="s">
        <v>325</v>
      </c>
      <c r="H117" s="62" t="s">
        <v>326</v>
      </c>
      <c r="I117" s="6"/>
      <c r="J117" s="6"/>
    </row>
    <row r="118" spans="2:10" ht="12.75">
      <c r="B118" s="7" t="s">
        <v>218</v>
      </c>
      <c r="C118" s="68">
        <f>D90</f>
        <v>13</v>
      </c>
      <c r="D118" s="5">
        <f>SQRT(C96/D87)</f>
        <v>3.4015752653313833</v>
      </c>
      <c r="E118" s="5">
        <f>C112</f>
        <v>1.894578603655801</v>
      </c>
      <c r="F118" s="5">
        <f>D118*E118</f>
        <v>6.444551716421643</v>
      </c>
      <c r="G118" s="5">
        <f>C118+F118</f>
        <v>19.444551716421643</v>
      </c>
      <c r="H118" s="5">
        <f>C118-F118</f>
        <v>6.555448283578357</v>
      </c>
      <c r="I118" s="6"/>
      <c r="J118" s="6"/>
    </row>
    <row r="119" spans="2:10" ht="12.75">
      <c r="B119" s="7" t="s">
        <v>220</v>
      </c>
      <c r="C119" s="68">
        <f>E90</f>
        <v>10.175</v>
      </c>
      <c r="D119" s="5">
        <f>SQRT(C96/E87)</f>
        <v>1.2026384684161253</v>
      </c>
      <c r="E119" s="5">
        <f>C112</f>
        <v>1.894578603655801</v>
      </c>
      <c r="F119" s="5">
        <f>D119*E119</f>
        <v>2.278493110194574</v>
      </c>
      <c r="G119" s="5">
        <f>C119+F119</f>
        <v>12.453493110194575</v>
      </c>
      <c r="H119" s="5">
        <f>C119-F119</f>
        <v>7.896506889805426</v>
      </c>
      <c r="I119" s="6"/>
      <c r="J119" s="6"/>
    </row>
    <row r="120" spans="2:10" ht="12.75">
      <c r="B120" s="2" t="s">
        <v>221</v>
      </c>
      <c r="C120" s="2">
        <f>C118-C119</f>
        <v>2.8249999999999993</v>
      </c>
      <c r="D120" s="5">
        <f>D97</f>
        <v>3.6079154052483764</v>
      </c>
      <c r="E120" s="5">
        <f>C112</f>
        <v>1.894578603655801</v>
      </c>
      <c r="F120" s="5">
        <f>D120*E120</f>
        <v>6.8354793305837225</v>
      </c>
      <c r="G120" s="5">
        <f>C120+F120</f>
        <v>9.660479330583723</v>
      </c>
      <c r="H120" s="5">
        <f>C120-F120</f>
        <v>-4.010479330583723</v>
      </c>
      <c r="I120" s="6"/>
      <c r="J120" s="6"/>
    </row>
    <row r="121" spans="2:10" ht="12.75">
      <c r="B121" s="6"/>
      <c r="C121" s="6"/>
      <c r="D121" s="6"/>
      <c r="E121" s="6"/>
      <c r="F121" s="6"/>
      <c r="G121" s="6"/>
      <c r="H121" s="6"/>
      <c r="I121" s="6"/>
      <c r="J121" s="6"/>
    </row>
    <row r="123" spans="1:3" ht="12.75">
      <c r="A123" s="1" t="s">
        <v>223</v>
      </c>
      <c r="B123" s="7" t="s">
        <v>143</v>
      </c>
      <c r="C123" s="4">
        <v>90</v>
      </c>
    </row>
    <row r="124" spans="2:3" ht="12.75">
      <c r="B124" s="7" t="s">
        <v>144</v>
      </c>
      <c r="C124" s="4">
        <f>D17</f>
        <v>7</v>
      </c>
    </row>
    <row r="125" spans="2:8" ht="12.75">
      <c r="B125" s="99" t="s">
        <v>42</v>
      </c>
      <c r="C125" s="76" t="s">
        <v>145</v>
      </c>
      <c r="D125" s="62" t="s">
        <v>322</v>
      </c>
      <c r="E125" s="62" t="s">
        <v>323</v>
      </c>
      <c r="F125" s="62" t="s">
        <v>324</v>
      </c>
      <c r="G125" s="62" t="s">
        <v>325</v>
      </c>
      <c r="H125" s="62" t="s">
        <v>326</v>
      </c>
    </row>
    <row r="126" spans="2:8" ht="12.75">
      <c r="B126" s="7" t="s">
        <v>56</v>
      </c>
      <c r="C126" s="2">
        <f>D19</f>
        <v>12.8625</v>
      </c>
      <c r="D126" s="5">
        <f>C103+D22</f>
        <v>1.3818902039287644</v>
      </c>
      <c r="E126" s="5">
        <f>TINV(1-C123/100,C124)</f>
        <v>1.8945786036558019</v>
      </c>
      <c r="F126" s="5">
        <f>D126*E126</f>
        <v>2.61809961296499</v>
      </c>
      <c r="G126" s="5">
        <f>C126+F126</f>
        <v>15.48059961296499</v>
      </c>
      <c r="H126" s="5">
        <f>C126-F126</f>
        <v>10.24440038703501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1"/>
  <sheetViews>
    <sheetView zoomScale="110" zoomScaleNormal="110" workbookViewId="0" topLeftCell="A58">
      <selection activeCell="C101" sqref="C101"/>
    </sheetView>
  </sheetViews>
  <sheetFormatPr defaultColWidth="11.00390625" defaultRowHeight="12.75"/>
  <cols>
    <col min="1" max="1" width="4.375" style="7" customWidth="1"/>
    <col min="2" max="2" width="22.625" style="7" customWidth="1"/>
    <col min="3" max="6" width="18.375" style="7" customWidth="1"/>
    <col min="7" max="8" width="11.00390625" style="7" customWidth="1"/>
    <col min="9" max="16384" width="10.75390625" style="7" customWidth="1"/>
  </cols>
  <sheetData>
    <row r="1" spans="1:8" ht="12.75">
      <c r="A1" s="1" t="s">
        <v>58</v>
      </c>
      <c r="C1" s="62" t="s">
        <v>351</v>
      </c>
      <c r="D1" s="62" t="s">
        <v>352</v>
      </c>
      <c r="E1" s="62" t="s">
        <v>130</v>
      </c>
      <c r="F1" s="62" t="s">
        <v>131</v>
      </c>
      <c r="G1" s="2"/>
      <c r="H1" s="2"/>
    </row>
    <row r="2" spans="2:8" ht="12.75">
      <c r="B2" s="2"/>
      <c r="C2" s="6">
        <v>1</v>
      </c>
      <c r="D2" s="63">
        <v>13.3</v>
      </c>
      <c r="E2" s="63">
        <v>13.1</v>
      </c>
      <c r="F2" s="63">
        <f>D2-E2</f>
        <v>0.20000000000000107</v>
      </c>
      <c r="G2" s="2"/>
      <c r="H2" s="2"/>
    </row>
    <row r="3" spans="1:8" ht="12.75">
      <c r="A3" s="61"/>
      <c r="B3" s="2"/>
      <c r="C3" s="6">
        <v>2</v>
      </c>
      <c r="D3" s="63">
        <v>11.2</v>
      </c>
      <c r="E3" s="63">
        <v>5.7</v>
      </c>
      <c r="F3" s="63">
        <f aca="true" t="shared" si="0" ref="F3:F9">D3-E3</f>
        <v>5.499999999999999</v>
      </c>
      <c r="G3" s="2"/>
      <c r="H3" s="2"/>
    </row>
    <row r="4" spans="1:8" ht="12.75">
      <c r="A4" s="61"/>
      <c r="B4" s="2"/>
      <c r="C4" s="6">
        <v>3</v>
      </c>
      <c r="D4" s="63">
        <v>15.2</v>
      </c>
      <c r="E4" s="63">
        <v>13.1</v>
      </c>
      <c r="F4" s="63">
        <f t="shared" si="0"/>
        <v>2.0999999999999996</v>
      </c>
      <c r="G4" s="2"/>
      <c r="H4" s="2"/>
    </row>
    <row r="5" spans="2:8" ht="12.75">
      <c r="B5" s="2"/>
      <c r="C5" s="6">
        <v>4</v>
      </c>
      <c r="D5" s="63">
        <v>13.8</v>
      </c>
      <c r="E5" s="63">
        <v>11.5</v>
      </c>
      <c r="F5" s="63">
        <f t="shared" si="0"/>
        <v>2.3000000000000007</v>
      </c>
      <c r="G5" s="2"/>
      <c r="H5" s="2"/>
    </row>
    <row r="6" spans="2:8" ht="12.75">
      <c r="B6" s="2"/>
      <c r="C6" s="6">
        <v>5</v>
      </c>
      <c r="D6" s="63">
        <v>6.8</v>
      </c>
      <c r="E6" s="63">
        <v>4.4</v>
      </c>
      <c r="F6" s="63">
        <f t="shared" si="0"/>
        <v>2.3999999999999995</v>
      </c>
      <c r="G6" s="2"/>
      <c r="H6" s="2"/>
    </row>
    <row r="7" spans="2:8" ht="12.75">
      <c r="B7" s="2"/>
      <c r="C7" s="6">
        <v>6</v>
      </c>
      <c r="D7" s="63">
        <v>12.7</v>
      </c>
      <c r="E7" s="63">
        <v>8.2</v>
      </c>
      <c r="F7" s="63">
        <f t="shared" si="0"/>
        <v>4.5</v>
      </c>
      <c r="G7" s="2"/>
      <c r="H7" s="2"/>
    </row>
    <row r="8" spans="2:8" ht="12.75">
      <c r="B8" s="2"/>
      <c r="C8" s="6">
        <v>7</v>
      </c>
      <c r="D8" s="63">
        <v>11</v>
      </c>
      <c r="E8" s="63">
        <v>9.6</v>
      </c>
      <c r="F8" s="63">
        <f t="shared" si="0"/>
        <v>1.4000000000000004</v>
      </c>
      <c r="H8" s="2"/>
    </row>
    <row r="9" spans="2:6" ht="12.75">
      <c r="B9" s="2"/>
      <c r="C9" s="62">
        <v>8</v>
      </c>
      <c r="D9" s="65">
        <v>15</v>
      </c>
      <c r="E9" s="65">
        <v>13.4</v>
      </c>
      <c r="F9" s="65">
        <f t="shared" si="0"/>
        <v>1.5999999999999996</v>
      </c>
    </row>
    <row r="10" spans="2:5" ht="12.75">
      <c r="B10" s="6"/>
      <c r="C10" s="66"/>
      <c r="D10" s="66"/>
      <c r="E10" s="6"/>
    </row>
    <row r="11" spans="2:9" ht="12.75">
      <c r="B11" s="6"/>
      <c r="C11" s="73" t="s">
        <v>236</v>
      </c>
      <c r="D11" s="6">
        <f>COUNT(D2:D9)</f>
        <v>8</v>
      </c>
      <c r="E11" s="6">
        <f>COUNT(E2:E9)</f>
        <v>8</v>
      </c>
      <c r="F11" s="6">
        <f>COUNT(F2:F9)</f>
        <v>8</v>
      </c>
      <c r="G11" s="92"/>
      <c r="H11" s="92"/>
      <c r="I11" s="92"/>
    </row>
    <row r="12" spans="2:6" ht="12.75">
      <c r="B12" s="6"/>
      <c r="C12" s="73" t="s">
        <v>140</v>
      </c>
      <c r="D12" s="6">
        <f>D11-1</f>
        <v>7</v>
      </c>
      <c r="E12" s="6">
        <f>E11-1</f>
        <v>7</v>
      </c>
      <c r="F12" s="6">
        <f>F11-1</f>
        <v>7</v>
      </c>
    </row>
    <row r="13" spans="2:6" ht="12.75">
      <c r="B13" s="6"/>
      <c r="C13" s="73" t="s">
        <v>237</v>
      </c>
      <c r="D13" s="63">
        <f>SUM(D2:D9)</f>
        <v>99</v>
      </c>
      <c r="E13" s="63">
        <f>SUM(E2:E9)</f>
        <v>79</v>
      </c>
      <c r="F13" s="63">
        <f>SUM(F2:F9)</f>
        <v>20</v>
      </c>
    </row>
    <row r="14" spans="2:6" ht="12.75">
      <c r="B14" s="6"/>
      <c r="C14" s="7" t="s">
        <v>132</v>
      </c>
      <c r="D14" s="5">
        <f>AVERAGE(D2:D9)</f>
        <v>12.375</v>
      </c>
      <c r="E14" s="5">
        <f>AVERAGE(E2:E9)</f>
        <v>9.875</v>
      </c>
      <c r="F14" s="5">
        <f>AVERAGE(F2:F9)</f>
        <v>2.5</v>
      </c>
    </row>
    <row r="15" spans="2:6" ht="12.75">
      <c r="B15" s="6"/>
      <c r="C15" s="7" t="s">
        <v>235</v>
      </c>
      <c r="D15" s="5">
        <f>SUMSQ(D2:D9)-D13^2/D11</f>
        <v>52.215000000000146</v>
      </c>
      <c r="E15" s="5">
        <f>SUMSQ(E2:E9)-E13^2/E11</f>
        <v>86.15499999999997</v>
      </c>
      <c r="F15" s="5">
        <f>SUMSQ(F2:F9)-F13^2/F11</f>
        <v>20.52000000000001</v>
      </c>
    </row>
    <row r="16" spans="2:6" ht="12.75">
      <c r="B16" s="6"/>
      <c r="C16" s="7" t="s">
        <v>348</v>
      </c>
      <c r="D16" s="5">
        <f>D15/D12</f>
        <v>7.459285714285735</v>
      </c>
      <c r="E16" s="5">
        <f>E15/E12</f>
        <v>12.30785714285714</v>
      </c>
      <c r="F16" s="5">
        <f>F15/F12</f>
        <v>2.931428571428573</v>
      </c>
    </row>
    <row r="17" spans="2:6" ht="12.75">
      <c r="B17" s="6"/>
      <c r="C17" s="7" t="s">
        <v>264</v>
      </c>
      <c r="D17" s="5">
        <f>SQRT(D16/D11)</f>
        <v>0.9656141642942676</v>
      </c>
      <c r="E17" s="5">
        <f>SQRT(E16/E11)</f>
        <v>1.2403556517616803</v>
      </c>
      <c r="F17" s="5">
        <f>SQRT(F16/F11)</f>
        <v>0.6053334382210944</v>
      </c>
    </row>
    <row r="18" spans="2:5" ht="12.75">
      <c r="B18" s="6"/>
      <c r="C18" s="5"/>
      <c r="D18" s="6"/>
      <c r="E18" s="6"/>
    </row>
    <row r="19" spans="1:5" ht="12.75">
      <c r="A19" s="7" t="s">
        <v>133</v>
      </c>
      <c r="B19" s="4" t="s">
        <v>441</v>
      </c>
      <c r="C19" s="5"/>
      <c r="D19" s="6"/>
      <c r="E19" s="6"/>
    </row>
    <row r="20" spans="2:5" ht="12.75">
      <c r="B20" s="7" t="s">
        <v>217</v>
      </c>
      <c r="C20" s="3">
        <f>F15/F12</f>
        <v>2.931428571428573</v>
      </c>
      <c r="D20" s="6"/>
      <c r="E20" s="6"/>
    </row>
    <row r="21" spans="2:5" ht="12.75">
      <c r="B21" s="7" t="s">
        <v>216</v>
      </c>
      <c r="C21" s="7" t="s">
        <v>264</v>
      </c>
      <c r="D21" s="3">
        <f>F17</f>
        <v>0.6053334382210944</v>
      </c>
      <c r="E21" s="6"/>
    </row>
    <row r="22" spans="2:5" ht="12.75">
      <c r="B22" s="6"/>
      <c r="C22" s="3"/>
      <c r="D22" s="6"/>
      <c r="E22" s="6"/>
    </row>
    <row r="23" spans="2:5" ht="12.75">
      <c r="B23" s="75" t="s">
        <v>86</v>
      </c>
      <c r="C23" s="74">
        <v>0.05</v>
      </c>
      <c r="D23" s="5"/>
      <c r="E23" s="6"/>
    </row>
    <row r="24" spans="3:5" ht="13.5" thickBot="1">
      <c r="C24" s="4"/>
      <c r="D24" s="6"/>
      <c r="E24" s="6"/>
    </row>
    <row r="25" spans="2:5" ht="12.75">
      <c r="B25" s="78" t="s">
        <v>134</v>
      </c>
      <c r="C25" s="79" t="s">
        <v>135</v>
      </c>
      <c r="D25" s="6"/>
      <c r="E25" s="6"/>
    </row>
    <row r="26" spans="2:5" ht="13.5" thickBot="1">
      <c r="B26" s="80" t="s">
        <v>136</v>
      </c>
      <c r="C26" s="81" t="s">
        <v>137</v>
      </c>
      <c r="D26" s="6"/>
      <c r="E26" s="6"/>
    </row>
    <row r="27" spans="3:5" ht="13.5" thickBot="1">
      <c r="C27" s="3"/>
      <c r="D27" s="6"/>
      <c r="E27" s="6"/>
    </row>
    <row r="28" spans="2:5" ht="13.5" thickBot="1">
      <c r="B28" s="82" t="s">
        <v>212</v>
      </c>
      <c r="C28" s="83" t="s">
        <v>138</v>
      </c>
      <c r="D28" s="6"/>
      <c r="E28" s="6"/>
    </row>
    <row r="29" spans="2:5" ht="13.5" thickBot="1">
      <c r="B29" s="6"/>
      <c r="C29" s="3"/>
      <c r="D29" s="6"/>
      <c r="E29" s="6"/>
    </row>
    <row r="30" spans="2:5" ht="12.75">
      <c r="B30" s="87" t="s">
        <v>139</v>
      </c>
      <c r="C30" s="79"/>
      <c r="D30" s="6"/>
      <c r="E30" s="6"/>
    </row>
    <row r="31" spans="2:5" ht="12.75">
      <c r="B31" s="88" t="s">
        <v>142</v>
      </c>
      <c r="C31" s="85">
        <v>0</v>
      </c>
      <c r="E31" s="6"/>
    </row>
    <row r="32" spans="2:5" ht="13.5" thickBot="1">
      <c r="B32" s="80" t="s">
        <v>239</v>
      </c>
      <c r="C32" s="81">
        <f>D21</f>
        <v>0.6053334382210944</v>
      </c>
      <c r="E32" s="6"/>
    </row>
    <row r="33" ht="12.75">
      <c r="C33" s="3"/>
    </row>
    <row r="34" spans="1:8" ht="13.5" thickBot="1">
      <c r="A34" s="4"/>
      <c r="B34" s="7" t="s">
        <v>140</v>
      </c>
      <c r="C34" s="4">
        <f>F12</f>
        <v>7</v>
      </c>
      <c r="D34" s="6"/>
      <c r="E34" s="6"/>
      <c r="F34" s="6"/>
      <c r="H34" s="4"/>
    </row>
    <row r="35" spans="1:5" ht="12.75">
      <c r="A35" s="61"/>
      <c r="B35" s="78" t="s">
        <v>141</v>
      </c>
      <c r="C35" s="79">
        <f>(F14-C31)/C32</f>
        <v>4.1299552315279335</v>
      </c>
      <c r="E35" s="3"/>
    </row>
    <row r="36" spans="2:4" ht="12.75">
      <c r="B36" s="84" t="s">
        <v>209</v>
      </c>
      <c r="C36" s="85">
        <f>TINV(C23*2,C34)</f>
        <v>1.894578603655801</v>
      </c>
      <c r="D36" s="2"/>
    </row>
    <row r="37" spans="2:3" ht="13.5" thickBot="1">
      <c r="B37" s="80" t="str">
        <f>IF(C35&gt;C36,"Reject H0","Fail to reject H0")</f>
        <v>Reject H0</v>
      </c>
      <c r="C37" s="81"/>
    </row>
    <row r="38" ht="12.75">
      <c r="C38" s="3"/>
    </row>
    <row r="39" spans="2:3" ht="12.75">
      <c r="B39" s="7" t="s">
        <v>143</v>
      </c>
      <c r="C39" s="4">
        <v>90</v>
      </c>
    </row>
    <row r="40" spans="2:3" ht="13.5" thickBot="1">
      <c r="B40" s="7" t="s">
        <v>144</v>
      </c>
      <c r="C40" s="4">
        <f>F12</f>
        <v>7</v>
      </c>
    </row>
    <row r="41" spans="2:8" ht="12.75">
      <c r="B41" s="76" t="s">
        <v>55</v>
      </c>
      <c r="C41" s="76" t="s">
        <v>145</v>
      </c>
      <c r="D41" s="62" t="s">
        <v>322</v>
      </c>
      <c r="E41" s="62" t="s">
        <v>323</v>
      </c>
      <c r="F41" s="91" t="s">
        <v>324</v>
      </c>
      <c r="G41" s="62" t="s">
        <v>325</v>
      </c>
      <c r="H41" s="62" t="s">
        <v>326</v>
      </c>
    </row>
    <row r="42" spans="2:8" ht="13.5" thickBot="1">
      <c r="B42" s="7" t="s">
        <v>57</v>
      </c>
      <c r="C42" s="2">
        <f>F14</f>
        <v>2.5</v>
      </c>
      <c r="D42" s="5">
        <f>C32</f>
        <v>0.6053334382210944</v>
      </c>
      <c r="E42" s="5">
        <f>TINV(1-C39/100,C40)</f>
        <v>1.8945786036558019</v>
      </c>
      <c r="F42" s="86">
        <f>D42*E42</f>
        <v>1.1468517801310867</v>
      </c>
      <c r="G42" s="5">
        <f>C42+F42</f>
        <v>3.6468517801310867</v>
      </c>
      <c r="H42" s="5">
        <f>C42-F42</f>
        <v>1.3531482198689133</v>
      </c>
    </row>
    <row r="43" ht="12.75">
      <c r="C43" s="3"/>
    </row>
    <row r="44" spans="1:3" ht="12.75">
      <c r="A44" s="7" t="s">
        <v>211</v>
      </c>
      <c r="B44" s="4" t="s">
        <v>146</v>
      </c>
      <c r="C44" s="3"/>
    </row>
    <row r="45" spans="2:3" ht="12.75">
      <c r="B45" s="7" t="s">
        <v>217</v>
      </c>
      <c r="C45" s="3">
        <f>(D15+E15)/(D12+E12)</f>
        <v>9.883571428571438</v>
      </c>
    </row>
    <row r="46" spans="2:4" ht="12.75">
      <c r="B46" s="7" t="s">
        <v>216</v>
      </c>
      <c r="C46" s="7" t="s">
        <v>349</v>
      </c>
      <c r="D46" s="3">
        <f>SQRT(C45/D11+C45/E11)</f>
        <v>1.5719073945824098</v>
      </c>
    </row>
    <row r="47" ht="12.75">
      <c r="C47" s="3"/>
    </row>
    <row r="48" spans="2:3" ht="12.75">
      <c r="B48" s="75" t="s">
        <v>86</v>
      </c>
      <c r="C48" s="74">
        <v>0.05</v>
      </c>
    </row>
    <row r="49" spans="1:4" ht="13.5" thickBot="1">
      <c r="A49" s="4"/>
      <c r="B49" s="2"/>
      <c r="C49" s="4"/>
      <c r="D49" s="69"/>
    </row>
    <row r="50" spans="2:3" ht="12.75">
      <c r="B50" s="78" t="s">
        <v>134</v>
      </c>
      <c r="C50" s="79" t="s">
        <v>135</v>
      </c>
    </row>
    <row r="51" spans="2:7" ht="13.5" thickBot="1">
      <c r="B51" s="80" t="s">
        <v>136</v>
      </c>
      <c r="C51" s="81" t="s">
        <v>137</v>
      </c>
      <c r="D51" s="5"/>
      <c r="E51" s="6"/>
      <c r="F51" s="6"/>
      <c r="G51" s="6"/>
    </row>
    <row r="52" spans="3:8" ht="13.5" thickBot="1">
      <c r="C52" s="3"/>
      <c r="D52" s="6"/>
      <c r="E52" s="6"/>
      <c r="F52" s="6"/>
      <c r="G52" s="6"/>
      <c r="H52" s="4"/>
    </row>
    <row r="53" spans="2:8" ht="13.5" thickBot="1">
      <c r="B53" s="82" t="s">
        <v>212</v>
      </c>
      <c r="C53" s="83" t="s">
        <v>147</v>
      </c>
      <c r="D53" s="6"/>
      <c r="E53" s="6"/>
      <c r="F53" s="6"/>
      <c r="G53" s="6"/>
      <c r="H53" s="4"/>
    </row>
    <row r="54" spans="3:8" ht="13.5" thickBot="1">
      <c r="C54" s="3"/>
      <c r="D54" s="6"/>
      <c r="E54" s="6"/>
      <c r="F54" s="6"/>
      <c r="G54" s="6"/>
      <c r="H54" s="4"/>
    </row>
    <row r="55" spans="2:5" ht="12.75">
      <c r="B55" s="87" t="s">
        <v>139</v>
      </c>
      <c r="C55" s="79"/>
      <c r="D55" s="6"/>
      <c r="E55" s="6"/>
    </row>
    <row r="56" spans="2:5" ht="12.75">
      <c r="B56" s="88" t="s">
        <v>142</v>
      </c>
      <c r="C56" s="85">
        <v>0</v>
      </c>
      <c r="E56" s="6"/>
    </row>
    <row r="57" spans="2:5" ht="13.5" thickBot="1">
      <c r="B57" s="80" t="s">
        <v>349</v>
      </c>
      <c r="C57" s="81">
        <f>D46</f>
        <v>1.5719073945824098</v>
      </c>
      <c r="E57" s="6"/>
    </row>
    <row r="58" ht="12.75">
      <c r="C58" s="3"/>
    </row>
    <row r="59" spans="1:8" ht="13.5" thickBot="1">
      <c r="A59" s="4"/>
      <c r="B59" s="7" t="s">
        <v>140</v>
      </c>
      <c r="C59" s="4">
        <f>D12+E12</f>
        <v>14</v>
      </c>
      <c r="D59" s="6"/>
      <c r="E59" s="6"/>
      <c r="F59" s="6"/>
      <c r="H59" s="4"/>
    </row>
    <row r="60" spans="1:8" ht="12.75">
      <c r="A60" s="61"/>
      <c r="B60" s="78" t="s">
        <v>141</v>
      </c>
      <c r="C60" s="79">
        <f>((D14-E14)-C56)/C57</f>
        <v>1.5904244795948337</v>
      </c>
      <c r="D60" s="5"/>
      <c r="E60" s="5"/>
      <c r="F60" s="5"/>
      <c r="G60" s="5"/>
      <c r="H60" s="3"/>
    </row>
    <row r="61" spans="2:8" ht="12.75">
      <c r="B61" s="84" t="s">
        <v>209</v>
      </c>
      <c r="C61" s="85">
        <f>TINV(C48*2,C59)</f>
        <v>1.7613101150619617</v>
      </c>
      <c r="D61" s="5"/>
      <c r="E61" s="5"/>
      <c r="F61" s="5"/>
      <c r="G61" s="5"/>
      <c r="H61" s="3"/>
    </row>
    <row r="62" spans="2:8" ht="13.5" thickBot="1">
      <c r="B62" s="80" t="str">
        <f>IF(C60&gt;C61,"Reject H0","Fail to reject H0")</f>
        <v>Fail to reject H0</v>
      </c>
      <c r="C62" s="89"/>
      <c r="D62" s="5"/>
      <c r="E62" s="5"/>
      <c r="F62" s="5"/>
      <c r="G62" s="5"/>
      <c r="H62" s="3"/>
    </row>
    <row r="63" spans="2:6" ht="12.75">
      <c r="B63" s="67"/>
      <c r="C63" s="5"/>
      <c r="D63" s="6"/>
      <c r="E63" s="71"/>
      <c r="F63" s="6"/>
    </row>
    <row r="64" spans="2:3" ht="12.75">
      <c r="B64" s="7" t="s">
        <v>143</v>
      </c>
      <c r="C64" s="4">
        <v>90</v>
      </c>
    </row>
    <row r="65" spans="2:3" ht="13.5" thickBot="1">
      <c r="B65" s="7" t="s">
        <v>144</v>
      </c>
      <c r="C65" s="4">
        <f>C59</f>
        <v>14</v>
      </c>
    </row>
    <row r="66" spans="2:8" ht="12.75">
      <c r="B66" s="76" t="s">
        <v>55</v>
      </c>
      <c r="C66" s="76" t="s">
        <v>145</v>
      </c>
      <c r="D66" s="62" t="s">
        <v>322</v>
      </c>
      <c r="E66" s="62" t="s">
        <v>323</v>
      </c>
      <c r="F66" s="91" t="s">
        <v>324</v>
      </c>
      <c r="G66" s="62" t="s">
        <v>325</v>
      </c>
      <c r="H66" s="62" t="s">
        <v>326</v>
      </c>
    </row>
    <row r="67" spans="2:8" ht="12.75">
      <c r="B67" s="7" t="s">
        <v>218</v>
      </c>
      <c r="C67" s="68">
        <f>D14</f>
        <v>12.375</v>
      </c>
      <c r="D67" s="5">
        <f>SQRT(C45/D11)</f>
        <v>1.1115063781065</v>
      </c>
      <c r="E67" s="5">
        <f>C61</f>
        <v>1.7613101150619617</v>
      </c>
      <c r="F67" s="90">
        <f>D67*E67</f>
        <v>1.9577074267148638</v>
      </c>
      <c r="G67" s="5">
        <f>C67+F67</f>
        <v>14.332707426714864</v>
      </c>
      <c r="H67" s="5">
        <f>C67-F67</f>
        <v>10.417292573285136</v>
      </c>
    </row>
    <row r="68" spans="2:8" ht="12.75">
      <c r="B68" s="7" t="s">
        <v>220</v>
      </c>
      <c r="C68" s="68">
        <f>E14</f>
        <v>9.875</v>
      </c>
      <c r="D68" s="5">
        <f>SQRT(C45/E11)</f>
        <v>1.1115063781065</v>
      </c>
      <c r="E68" s="5">
        <f>C61</f>
        <v>1.7613101150619617</v>
      </c>
      <c r="F68" s="90">
        <f>D68*E68</f>
        <v>1.9577074267148638</v>
      </c>
      <c r="G68" s="5">
        <f>C68+F68</f>
        <v>11.832707426714864</v>
      </c>
      <c r="H68" s="5">
        <f>C68-F68</f>
        <v>7.9172925732851365</v>
      </c>
    </row>
    <row r="69" spans="2:8" ht="13.5" thickBot="1">
      <c r="B69" s="2" t="s">
        <v>221</v>
      </c>
      <c r="C69" s="2">
        <f>C67-C68</f>
        <v>2.5</v>
      </c>
      <c r="D69" s="5">
        <f>D46</f>
        <v>1.5719073945824098</v>
      </c>
      <c r="E69" s="5">
        <f>C61</f>
        <v>1.7613101150619617</v>
      </c>
      <c r="F69" s="86">
        <f>D69*E69</f>
        <v>2.7686163940186925</v>
      </c>
      <c r="G69" s="5">
        <f>C69+F69</f>
        <v>5.268616394018693</v>
      </c>
      <c r="H69" s="5">
        <f>C69-F69</f>
        <v>-0.26861639401869253</v>
      </c>
    </row>
    <row r="70" spans="2:5" ht="12.75">
      <c r="B70" s="2"/>
      <c r="C70" s="2"/>
      <c r="E70" s="69"/>
    </row>
    <row r="71" spans="1:8" ht="12.75">
      <c r="A71" s="100"/>
      <c r="B71" s="101"/>
      <c r="C71" s="102"/>
      <c r="D71" s="100"/>
      <c r="E71" s="100"/>
      <c r="F71" s="100"/>
      <c r="G71" s="100"/>
      <c r="H71" s="100"/>
    </row>
    <row r="72" spans="1:8" ht="12.75">
      <c r="A72" s="61" t="s">
        <v>222</v>
      </c>
      <c r="B72" s="3"/>
      <c r="C72" s="62" t="str">
        <f aca="true" t="shared" si="1" ref="C72:E73">C1</f>
        <v>Office</v>
      </c>
      <c r="D72" s="62" t="str">
        <f t="shared" si="1"/>
        <v>Wood (x1)</v>
      </c>
      <c r="E72" s="62" t="str">
        <f t="shared" si="1"/>
        <v>Metal (x2)</v>
      </c>
      <c r="F72" s="62"/>
      <c r="H72" s="72"/>
    </row>
    <row r="73" spans="2:6" ht="12.75">
      <c r="B73" s="3"/>
      <c r="C73" s="6">
        <f t="shared" si="1"/>
        <v>1</v>
      </c>
      <c r="D73" s="63">
        <f t="shared" si="1"/>
        <v>13.3</v>
      </c>
      <c r="E73" s="63">
        <f t="shared" si="1"/>
        <v>13.1</v>
      </c>
      <c r="F73" s="63"/>
    </row>
    <row r="74" spans="2:9" ht="12.75">
      <c r="B74" s="68"/>
      <c r="C74" s="6">
        <f aca="true" t="shared" si="2" ref="C74:C80">C3</f>
        <v>2</v>
      </c>
      <c r="D74" s="63"/>
      <c r="E74" s="63">
        <f aca="true" t="shared" si="3" ref="E74:E80">E3</f>
        <v>5.7</v>
      </c>
      <c r="F74" s="63"/>
      <c r="H74" s="2"/>
      <c r="I74" s="2"/>
    </row>
    <row r="75" spans="2:9" ht="12.75">
      <c r="B75" s="3"/>
      <c r="C75" s="6">
        <f t="shared" si="2"/>
        <v>3</v>
      </c>
      <c r="D75" s="63"/>
      <c r="E75" s="63">
        <f t="shared" si="3"/>
        <v>13.1</v>
      </c>
      <c r="F75" s="63"/>
      <c r="H75" s="2"/>
      <c r="I75" s="2"/>
    </row>
    <row r="76" spans="2:9" ht="12.75">
      <c r="B76" s="68"/>
      <c r="C76" s="6">
        <f t="shared" si="2"/>
        <v>4</v>
      </c>
      <c r="D76" s="63"/>
      <c r="E76" s="63">
        <f t="shared" si="3"/>
        <v>11.5</v>
      </c>
      <c r="F76" s="63"/>
      <c r="H76" s="2"/>
      <c r="I76" s="2"/>
    </row>
    <row r="77" spans="2:9" ht="12.75">
      <c r="B77" s="3"/>
      <c r="C77" s="6">
        <f t="shared" si="2"/>
        <v>5</v>
      </c>
      <c r="D77" s="63"/>
      <c r="E77" s="63">
        <f t="shared" si="3"/>
        <v>4.4</v>
      </c>
      <c r="F77" s="63"/>
      <c r="H77" s="2"/>
      <c r="I77" s="2"/>
    </row>
    <row r="78" spans="2:9" ht="12.75">
      <c r="B78" s="68"/>
      <c r="C78" s="6">
        <f t="shared" si="2"/>
        <v>6</v>
      </c>
      <c r="D78" s="63"/>
      <c r="E78" s="63">
        <f t="shared" si="3"/>
        <v>8.2</v>
      </c>
      <c r="F78" s="63"/>
      <c r="H78" s="2"/>
      <c r="I78" s="2"/>
    </row>
    <row r="79" spans="2:9" ht="12.75">
      <c r="B79" s="3"/>
      <c r="C79" s="6">
        <f t="shared" si="2"/>
        <v>7</v>
      </c>
      <c r="D79" s="63"/>
      <c r="E79" s="63">
        <f t="shared" si="3"/>
        <v>9.6</v>
      </c>
      <c r="F79" s="63"/>
      <c r="H79" s="2"/>
      <c r="I79" s="2"/>
    </row>
    <row r="80" spans="2:9" ht="12.75">
      <c r="B80" s="68"/>
      <c r="C80" s="62">
        <f t="shared" si="2"/>
        <v>8</v>
      </c>
      <c r="D80" s="65"/>
      <c r="E80" s="65">
        <f t="shared" si="3"/>
        <v>13.4</v>
      </c>
      <c r="F80" s="65"/>
      <c r="H80" s="2"/>
      <c r="I80" s="2"/>
    </row>
    <row r="81" spans="2:9" ht="12.75">
      <c r="B81" s="68"/>
      <c r="C81" s="73"/>
      <c r="D81" s="6"/>
      <c r="E81" s="6"/>
      <c r="F81" s="6"/>
      <c r="H81" s="2"/>
      <c r="I81" s="2"/>
    </row>
    <row r="82" spans="2:9" ht="12.75">
      <c r="B82" s="3"/>
      <c r="C82" s="73" t="s">
        <v>236</v>
      </c>
      <c r="D82" s="6">
        <f>COUNT(D73:D80)</f>
        <v>1</v>
      </c>
      <c r="E82" s="6">
        <f>COUNT(E73:E80)</f>
        <v>8</v>
      </c>
      <c r="F82" s="6"/>
      <c r="H82" s="2"/>
      <c r="I82" s="2"/>
    </row>
    <row r="83" spans="2:9" ht="12.75">
      <c r="B83" s="68"/>
      <c r="C83" s="73" t="s">
        <v>140</v>
      </c>
      <c r="D83" s="6">
        <f>D82-1</f>
        <v>0</v>
      </c>
      <c r="E83" s="6">
        <f>E82-1</f>
        <v>7</v>
      </c>
      <c r="F83" s="6"/>
      <c r="H83" s="2"/>
      <c r="I83" s="2"/>
    </row>
    <row r="84" spans="2:9" ht="12.75">
      <c r="B84" s="3"/>
      <c r="C84" s="73" t="s">
        <v>237</v>
      </c>
      <c r="D84" s="63">
        <f>SUM(D73:D80)</f>
        <v>13.3</v>
      </c>
      <c r="E84" s="63">
        <f>SUM(E73:E80)</f>
        <v>79</v>
      </c>
      <c r="F84" s="63"/>
      <c r="H84" s="2"/>
      <c r="I84" s="2"/>
    </row>
    <row r="85" spans="2:9" ht="12.75">
      <c r="B85" s="68"/>
      <c r="C85" s="7" t="s">
        <v>132</v>
      </c>
      <c r="D85" s="5">
        <f>AVERAGE(D73:D80)</f>
        <v>13.3</v>
      </c>
      <c r="E85" s="5">
        <f>AVERAGE(E73:E80)</f>
        <v>9.875</v>
      </c>
      <c r="F85" s="5"/>
      <c r="H85" s="2"/>
      <c r="I85" s="2"/>
    </row>
    <row r="86" spans="2:9" ht="12.75">
      <c r="B86" s="67"/>
      <c r="C86" s="7" t="s">
        <v>235</v>
      </c>
      <c r="D86" s="5">
        <f>SUMSQ(D73:D80)-D84^2/D82</f>
        <v>0</v>
      </c>
      <c r="E86" s="5">
        <f>SUMSQ(E73:E80)-E84^2/E82</f>
        <v>86.15499999999997</v>
      </c>
      <c r="F86" s="5"/>
      <c r="H86" s="69"/>
      <c r="I86" s="69"/>
    </row>
    <row r="87" spans="2:6" ht="12.75">
      <c r="B87" s="67"/>
      <c r="C87" s="7" t="s">
        <v>348</v>
      </c>
      <c r="D87" s="5" t="s">
        <v>224</v>
      </c>
      <c r="E87" s="5">
        <f>E86/E83</f>
        <v>12.30785714285714</v>
      </c>
      <c r="F87" s="5"/>
    </row>
    <row r="88" spans="2:8" ht="12.75">
      <c r="B88" s="4"/>
      <c r="C88" s="7" t="s">
        <v>219</v>
      </c>
      <c r="D88" s="5" t="s">
        <v>224</v>
      </c>
      <c r="E88" s="5">
        <f>SQRT(E87/E82)</f>
        <v>1.2403556517616803</v>
      </c>
      <c r="F88" s="5"/>
      <c r="G88" s="6"/>
      <c r="H88" s="6"/>
    </row>
    <row r="89" spans="2:8" ht="12.75">
      <c r="B89" s="6"/>
      <c r="C89" s="6"/>
      <c r="D89" s="6"/>
      <c r="E89" s="6"/>
      <c r="F89" s="6"/>
      <c r="G89" s="6"/>
      <c r="H89" s="6"/>
    </row>
    <row r="90" spans="1:10" ht="12.75">
      <c r="A90" s="7" t="s">
        <v>133</v>
      </c>
      <c r="B90" s="4" t="s">
        <v>146</v>
      </c>
      <c r="C90" s="3"/>
      <c r="I90" s="6"/>
      <c r="J90" s="6"/>
    </row>
    <row r="91" spans="2:10" ht="12.75">
      <c r="B91" s="7" t="s">
        <v>217</v>
      </c>
      <c r="C91" s="3">
        <f>(D86+E86)/(D83+E83)</f>
        <v>12.30785714285714</v>
      </c>
      <c r="I91" s="6"/>
      <c r="J91" s="6"/>
    </row>
    <row r="92" spans="2:10" ht="12.75">
      <c r="B92" s="7" t="s">
        <v>216</v>
      </c>
      <c r="C92" s="7" t="s">
        <v>349</v>
      </c>
      <c r="D92" s="3">
        <f>SQRT(C91/D82+C91/E82)</f>
        <v>3.721066955285041</v>
      </c>
      <c r="I92" s="6"/>
      <c r="J92" s="6"/>
    </row>
    <row r="93" spans="3:10" ht="12.75">
      <c r="C93" s="3"/>
      <c r="I93" s="6"/>
      <c r="J93" s="6"/>
    </row>
    <row r="94" spans="2:10" ht="12.75">
      <c r="B94" s="75" t="s">
        <v>86</v>
      </c>
      <c r="C94" s="74">
        <v>0.05</v>
      </c>
      <c r="I94" s="6"/>
      <c r="J94" s="6"/>
    </row>
    <row r="95" spans="1:10" ht="13.5" thickBot="1">
      <c r="A95" s="4"/>
      <c r="B95" s="2"/>
      <c r="C95" s="4"/>
      <c r="D95" s="69"/>
      <c r="I95" s="6"/>
      <c r="J95" s="6"/>
    </row>
    <row r="96" spans="2:10" ht="12.75">
      <c r="B96" s="78" t="s">
        <v>134</v>
      </c>
      <c r="C96" s="79" t="s">
        <v>135</v>
      </c>
      <c r="I96" s="6"/>
      <c r="J96" s="6"/>
    </row>
    <row r="97" spans="2:10" ht="13.5" thickBot="1">
      <c r="B97" s="80" t="s">
        <v>136</v>
      </c>
      <c r="C97" s="81" t="s">
        <v>137</v>
      </c>
      <c r="D97" s="5"/>
      <c r="E97" s="6"/>
      <c r="F97" s="6"/>
      <c r="G97" s="6"/>
      <c r="I97" s="6"/>
      <c r="J97" s="6"/>
    </row>
    <row r="98" spans="3:10" ht="13.5" thickBot="1">
      <c r="C98" s="3"/>
      <c r="D98" s="103"/>
      <c r="E98" s="6"/>
      <c r="F98" s="6"/>
      <c r="G98" s="6"/>
      <c r="H98" s="4"/>
      <c r="I98" s="6"/>
      <c r="J98" s="6"/>
    </row>
    <row r="99" spans="2:10" ht="13.5" thickBot="1">
      <c r="B99" s="82" t="s">
        <v>212</v>
      </c>
      <c r="C99" s="83" t="s">
        <v>147</v>
      </c>
      <c r="D99" s="6"/>
      <c r="E99" s="6"/>
      <c r="F99" s="6"/>
      <c r="G99" s="6"/>
      <c r="H99" s="4"/>
      <c r="I99" s="6"/>
      <c r="J99" s="6"/>
    </row>
    <row r="100" spans="3:10" ht="13.5" thickBot="1">
      <c r="C100" s="3"/>
      <c r="D100" s="6"/>
      <c r="E100" s="6"/>
      <c r="F100" s="6"/>
      <c r="G100" s="6"/>
      <c r="H100" s="4"/>
      <c r="I100" s="6"/>
      <c r="J100" s="6"/>
    </row>
    <row r="101" spans="2:10" ht="12.75">
      <c r="B101" s="87" t="s">
        <v>139</v>
      </c>
      <c r="C101" s="79"/>
      <c r="D101" s="6"/>
      <c r="E101" s="6"/>
      <c r="I101" s="6"/>
      <c r="J101" s="6"/>
    </row>
    <row r="102" spans="2:10" ht="12.75">
      <c r="B102" s="88" t="s">
        <v>142</v>
      </c>
      <c r="C102" s="85">
        <v>0</v>
      </c>
      <c r="E102" s="6"/>
      <c r="I102" s="6"/>
      <c r="J102" s="6"/>
    </row>
    <row r="103" spans="2:10" ht="13.5" thickBot="1">
      <c r="B103" s="80" t="s">
        <v>349</v>
      </c>
      <c r="C103" s="81">
        <f>D92</f>
        <v>3.721066955285041</v>
      </c>
      <c r="E103" s="6"/>
      <c r="I103" s="6"/>
      <c r="J103" s="6"/>
    </row>
    <row r="104" spans="3:10" ht="12.75">
      <c r="C104" s="3"/>
      <c r="I104" s="6"/>
      <c r="J104" s="6"/>
    </row>
    <row r="105" spans="1:10" ht="13.5" thickBot="1">
      <c r="A105" s="4"/>
      <c r="B105" s="7" t="s">
        <v>140</v>
      </c>
      <c r="C105" s="4">
        <f>D83+E83</f>
        <v>7</v>
      </c>
      <c r="D105" s="6"/>
      <c r="E105" s="6"/>
      <c r="F105" s="6"/>
      <c r="H105" s="4"/>
      <c r="I105" s="6"/>
      <c r="J105" s="6"/>
    </row>
    <row r="106" spans="1:10" ht="12.75">
      <c r="A106" s="61"/>
      <c r="B106" s="78" t="s">
        <v>141</v>
      </c>
      <c r="C106" s="79">
        <f>((D85-E85)-C102)/C103</f>
        <v>0.9204349293246294</v>
      </c>
      <c r="D106" s="5"/>
      <c r="E106" s="5"/>
      <c r="F106" s="5"/>
      <c r="G106" s="5"/>
      <c r="H106" s="3"/>
      <c r="I106" s="6"/>
      <c r="J106" s="6"/>
    </row>
    <row r="107" spans="2:10" ht="12.75">
      <c r="B107" s="84" t="s">
        <v>209</v>
      </c>
      <c r="C107" s="85">
        <f>TINV(C94*2,C105)</f>
        <v>1.894578603655801</v>
      </c>
      <c r="D107" s="5"/>
      <c r="E107" s="5"/>
      <c r="F107" s="5"/>
      <c r="G107" s="5"/>
      <c r="H107" s="3"/>
      <c r="I107" s="6"/>
      <c r="J107" s="6"/>
    </row>
    <row r="108" spans="2:10" ht="13.5" thickBot="1">
      <c r="B108" s="80" t="str">
        <f>IF(C106&gt;C107,"Reject H0","Fail to reject H0")</f>
        <v>Fail to reject H0</v>
      </c>
      <c r="C108" s="89"/>
      <c r="D108" s="5"/>
      <c r="E108" s="5"/>
      <c r="F108" s="5"/>
      <c r="G108" s="5"/>
      <c r="H108" s="3"/>
      <c r="I108" s="6"/>
      <c r="J108" s="6"/>
    </row>
    <row r="109" spans="2:10" ht="12.75">
      <c r="B109" s="67"/>
      <c r="C109" s="5"/>
      <c r="D109" s="6"/>
      <c r="E109" s="71"/>
      <c r="F109" s="6"/>
      <c r="I109" s="6"/>
      <c r="J109" s="6"/>
    </row>
    <row r="110" spans="1:10" ht="12.75">
      <c r="A110" s="7" t="s">
        <v>211</v>
      </c>
      <c r="B110" s="7" t="s">
        <v>143</v>
      </c>
      <c r="C110" s="4">
        <v>90</v>
      </c>
      <c r="I110" s="6"/>
      <c r="J110" s="6"/>
    </row>
    <row r="111" spans="2:10" ht="13.5" thickBot="1">
      <c r="B111" s="7" t="s">
        <v>144</v>
      </c>
      <c r="C111" s="4">
        <f>C105</f>
        <v>7</v>
      </c>
      <c r="I111" s="6"/>
      <c r="J111" s="6"/>
    </row>
    <row r="112" spans="2:10" ht="12.75">
      <c r="B112" s="76" t="s">
        <v>55</v>
      </c>
      <c r="C112" s="76" t="s">
        <v>145</v>
      </c>
      <c r="D112" s="62" t="s">
        <v>322</v>
      </c>
      <c r="E112" s="62" t="s">
        <v>323</v>
      </c>
      <c r="F112" s="91" t="s">
        <v>324</v>
      </c>
      <c r="G112" s="62" t="s">
        <v>325</v>
      </c>
      <c r="H112" s="62" t="s">
        <v>326</v>
      </c>
      <c r="I112" s="6"/>
      <c r="J112" s="6"/>
    </row>
    <row r="113" spans="2:10" ht="12.75">
      <c r="B113" s="7" t="s">
        <v>218</v>
      </c>
      <c r="C113" s="68">
        <f>D85</f>
        <v>13.3</v>
      </c>
      <c r="D113" s="5">
        <f>SQRT(C91/D82)</f>
        <v>3.5082555697749758</v>
      </c>
      <c r="E113" s="5">
        <f>C107</f>
        <v>1.894578603655801</v>
      </c>
      <c r="F113" s="90">
        <f>D113*E113</f>
        <v>6.64666593865196</v>
      </c>
      <c r="G113" s="5">
        <f>C113+F113</f>
        <v>19.94666593865196</v>
      </c>
      <c r="H113" s="5">
        <f>C113-F113</f>
        <v>6.6533340613480405</v>
      </c>
      <c r="I113" s="6"/>
      <c r="J113" s="6"/>
    </row>
    <row r="114" spans="2:10" ht="12.75">
      <c r="B114" s="7" t="s">
        <v>220</v>
      </c>
      <c r="C114" s="68">
        <f>E85</f>
        <v>9.875</v>
      </c>
      <c r="D114" s="5">
        <f>SQRT(C91/E82)</f>
        <v>1.2403556517616803</v>
      </c>
      <c r="E114" s="5">
        <f>C107</f>
        <v>1.894578603655801</v>
      </c>
      <c r="F114" s="90">
        <f>D114*E114</f>
        <v>2.349951278751225</v>
      </c>
      <c r="G114" s="5">
        <f>C114+F114</f>
        <v>12.224951278751226</v>
      </c>
      <c r="H114" s="5">
        <f>C114-F114</f>
        <v>7.525048721248774</v>
      </c>
      <c r="I114" s="6"/>
      <c r="J114" s="6"/>
    </row>
    <row r="115" spans="2:10" ht="13.5" thickBot="1">
      <c r="B115" s="2" t="s">
        <v>221</v>
      </c>
      <c r="C115" s="2">
        <f>C113-C114</f>
        <v>3.4250000000000007</v>
      </c>
      <c r="D115" s="5">
        <f>D92</f>
        <v>3.721066955285041</v>
      </c>
      <c r="E115" s="5">
        <f>C107</f>
        <v>1.894578603655801</v>
      </c>
      <c r="F115" s="86">
        <f>D115*E115</f>
        <v>7.049853836253676</v>
      </c>
      <c r="G115" s="5">
        <f>C115+F115</f>
        <v>10.474853836253676</v>
      </c>
      <c r="H115" s="5">
        <f>C115-F115</f>
        <v>-3.624853836253675</v>
      </c>
      <c r="I115" s="6"/>
      <c r="J115" s="6"/>
    </row>
    <row r="116" spans="2:10" ht="12.75">
      <c r="B116" s="6"/>
      <c r="C116" s="6"/>
      <c r="D116" s="6"/>
      <c r="E116" s="6"/>
      <c r="F116" s="6"/>
      <c r="G116" s="6"/>
      <c r="H116" s="6"/>
      <c r="I116" s="6"/>
      <c r="J116" s="6"/>
    </row>
    <row r="117" spans="1:8" ht="12.75">
      <c r="A117" s="100"/>
      <c r="B117" s="100"/>
      <c r="C117" s="100"/>
      <c r="D117" s="100"/>
      <c r="E117" s="100"/>
      <c r="F117" s="100"/>
      <c r="G117" s="100"/>
      <c r="H117" s="100"/>
    </row>
    <row r="118" spans="1:3" ht="12.75">
      <c r="A118" s="1" t="s">
        <v>223</v>
      </c>
      <c r="B118" s="7" t="s">
        <v>143</v>
      </c>
      <c r="C118" s="4">
        <v>90</v>
      </c>
    </row>
    <row r="119" spans="2:3" ht="13.5" thickBot="1">
      <c r="B119" s="7" t="s">
        <v>144</v>
      </c>
      <c r="C119" s="4">
        <f>D12</f>
        <v>7</v>
      </c>
    </row>
    <row r="120" spans="2:8" ht="12.75">
      <c r="B120" s="76" t="s">
        <v>55</v>
      </c>
      <c r="C120" s="76" t="s">
        <v>145</v>
      </c>
      <c r="D120" s="62" t="s">
        <v>322</v>
      </c>
      <c r="E120" s="62" t="s">
        <v>323</v>
      </c>
      <c r="F120" s="91" t="s">
        <v>324</v>
      </c>
      <c r="G120" s="62" t="s">
        <v>325</v>
      </c>
      <c r="H120" s="62" t="s">
        <v>326</v>
      </c>
    </row>
    <row r="121" spans="2:8" ht="13.5" thickBot="1">
      <c r="B121" s="7" t="s">
        <v>218</v>
      </c>
      <c r="C121" s="2">
        <f>D14</f>
        <v>12.375</v>
      </c>
      <c r="D121" s="5">
        <f>C98+D17</f>
        <v>0.9656141642942676</v>
      </c>
      <c r="E121" s="5">
        <f>TINV(1-C118/100,C119)</f>
        <v>1.8945786036558019</v>
      </c>
      <c r="F121" s="86">
        <f>D121*E121</f>
        <v>1.8294319350588977</v>
      </c>
      <c r="G121" s="5">
        <f>C121+F121</f>
        <v>14.204431935058897</v>
      </c>
      <c r="H121" s="5">
        <f>C121-F121</f>
        <v>10.545568064941103</v>
      </c>
    </row>
  </sheetData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9"/>
  <sheetViews>
    <sheetView zoomScale="125" zoomScaleNormal="125" workbookViewId="0" topLeftCell="A1">
      <selection activeCell="F21" sqref="F21"/>
    </sheetView>
  </sheetViews>
  <sheetFormatPr defaultColWidth="11.00390625" defaultRowHeight="12.75"/>
  <cols>
    <col min="1" max="1" width="6.25390625" style="108" customWidth="1"/>
    <col min="2" max="2" width="13.375" style="107" customWidth="1"/>
    <col min="3" max="5" width="13.375" style="104" customWidth="1"/>
    <col min="6" max="6" width="11.875" style="104" customWidth="1"/>
    <col min="7" max="7" width="9.875" style="104" customWidth="1"/>
    <col min="8" max="16384" width="10.75390625" style="104" customWidth="1"/>
  </cols>
  <sheetData>
    <row r="1" ht="13.5" thickBot="1"/>
    <row r="2" spans="1:11" s="113" customFormat="1" ht="12.75">
      <c r="A2" s="109" t="s">
        <v>350</v>
      </c>
      <c r="B2" s="110" t="s">
        <v>436</v>
      </c>
      <c r="C2" s="111"/>
      <c r="D2" s="112"/>
      <c r="E2" s="258"/>
      <c r="F2" s="258"/>
      <c r="G2" s="105"/>
      <c r="H2" s="105"/>
      <c r="I2" s="105"/>
      <c r="J2" s="105"/>
      <c r="K2" s="105"/>
    </row>
    <row r="3" spans="1:11" s="113" customFormat="1" ht="12.75">
      <c r="A3" s="258"/>
      <c r="B3" s="114" t="s">
        <v>437</v>
      </c>
      <c r="C3" s="115" t="s">
        <v>87</v>
      </c>
      <c r="D3" s="116" t="s">
        <v>70</v>
      </c>
      <c r="E3" s="117"/>
      <c r="F3" s="258"/>
      <c r="G3" s="105"/>
      <c r="H3" s="105"/>
      <c r="I3" s="105"/>
      <c r="J3" s="105"/>
      <c r="K3" s="105"/>
    </row>
    <row r="4" spans="1:11" s="113" customFormat="1" ht="13.5" thickBot="1">
      <c r="A4" s="118"/>
      <c r="B4" s="119">
        <v>10</v>
      </c>
      <c r="C4" s="120">
        <v>3</v>
      </c>
      <c r="D4" s="121">
        <v>1</v>
      </c>
      <c r="E4" s="124"/>
      <c r="F4" s="258"/>
      <c r="G4" s="105"/>
      <c r="H4" s="105"/>
      <c r="I4" s="105"/>
      <c r="J4" s="105"/>
      <c r="K4" s="105"/>
    </row>
    <row r="5" spans="1:11" s="113" customFormat="1" ht="12.75">
      <c r="A5" s="118"/>
      <c r="B5" s="258"/>
      <c r="C5" s="258"/>
      <c r="D5" s="122"/>
      <c r="E5" s="122"/>
      <c r="F5" s="258"/>
      <c r="G5" s="105"/>
      <c r="H5" s="105"/>
      <c r="I5" s="105"/>
      <c r="J5" s="105"/>
      <c r="K5" s="105"/>
    </row>
    <row r="6" spans="2:5" ht="12.75">
      <c r="B6" s="134" t="s">
        <v>126</v>
      </c>
      <c r="C6" s="141">
        <v>0.95</v>
      </c>
      <c r="D6" s="132"/>
      <c r="E6" s="132"/>
    </row>
    <row r="7" spans="2:3" ht="12.75">
      <c r="B7" s="134" t="s">
        <v>127</v>
      </c>
      <c r="C7" s="142">
        <f>F21/F22</f>
        <v>0.586250000000037</v>
      </c>
    </row>
    <row r="8" spans="2:3" ht="12.75">
      <c r="B8" s="134"/>
      <c r="C8" s="142"/>
    </row>
    <row r="9" spans="1:11" s="113" customFormat="1" ht="15">
      <c r="A9" s="118"/>
      <c r="B9" s="123" t="s">
        <v>342</v>
      </c>
      <c r="C9" s="124">
        <f ca="1">ROUND(NORMSINV(RAND())*$C$4,1)</f>
        <v>1.9</v>
      </c>
      <c r="D9" s="124">
        <f ca="1">ROUND(NORMSINV(RAND())*$C$4,1)</f>
        <v>2.7</v>
      </c>
      <c r="E9" s="124">
        <f>-SUM(C9:D9)</f>
        <v>-4.6</v>
      </c>
      <c r="F9" s="258"/>
      <c r="G9" s="105"/>
      <c r="H9" s="105"/>
      <c r="I9" s="105"/>
      <c r="J9" s="105"/>
      <c r="K9" s="105"/>
    </row>
    <row r="10" spans="1:11" s="113" customFormat="1" ht="15">
      <c r="A10" s="118"/>
      <c r="B10" s="123" t="s">
        <v>302</v>
      </c>
      <c r="C10" s="124">
        <f>C9+$B$4</f>
        <v>11.9</v>
      </c>
      <c r="D10" s="124">
        <f>D9+$B$4</f>
        <v>12.7</v>
      </c>
      <c r="E10" s="124">
        <f>E9+$B$4</f>
        <v>5.4</v>
      </c>
      <c r="F10" s="258"/>
      <c r="G10" s="105"/>
      <c r="H10" s="105"/>
      <c r="I10" s="105"/>
      <c r="J10" s="105"/>
      <c r="K10" s="105"/>
    </row>
    <row r="11" spans="1:6" ht="12.75">
      <c r="A11" s="125"/>
      <c r="B11" s="104"/>
      <c r="C11" s="143" t="s">
        <v>204</v>
      </c>
      <c r="D11" s="143" t="s">
        <v>205</v>
      </c>
      <c r="E11" s="143" t="s">
        <v>85</v>
      </c>
      <c r="F11" s="144" t="s">
        <v>128</v>
      </c>
    </row>
    <row r="12" spans="2:6" ht="12.75">
      <c r="B12" s="106"/>
      <c r="C12" s="126">
        <f ca="1">ROUND(NORMSINV(RAND())*$D$4+C$9+$B$4,1)</f>
        <v>12.6</v>
      </c>
      <c r="D12" s="126">
        <f ca="1">ROUND(NORMSINV(RAND())*$D$4+D$9+$B$4,1)</f>
        <v>13.7</v>
      </c>
      <c r="E12" s="126">
        <f ca="1">ROUND(NORMSINV(RAND())*$D$4+E$9+$B$4,1)</f>
        <v>5.3</v>
      </c>
      <c r="F12" s="106"/>
    </row>
    <row r="13" spans="2:6" ht="12.75">
      <c r="B13" s="106"/>
      <c r="C13" s="126"/>
      <c r="D13" s="126">
        <f ca="1">ROUND(NORMSINV(RAND())*$D$4+D$9+$B$4,1)</f>
        <v>13.8</v>
      </c>
      <c r="E13" s="126">
        <f ca="1">ROUND(NORMSINV(RAND())*$D$4+E$9+$B$4,1)</f>
        <v>5.8</v>
      </c>
      <c r="F13" s="106"/>
    </row>
    <row r="14" spans="2:6" ht="12.75">
      <c r="B14" s="106"/>
      <c r="C14" s="126"/>
      <c r="D14" s="126">
        <f ca="1">ROUND(NORMSINV(RAND())*$D$4+D$9+$B$4,1)</f>
        <v>12.8</v>
      </c>
      <c r="E14" s="126"/>
      <c r="F14" s="106"/>
    </row>
    <row r="15" spans="2:6" ht="12.75">
      <c r="B15" s="106"/>
      <c r="C15" s="127"/>
      <c r="D15" s="128">
        <f ca="1">ROUND(NORMSINV(RAND())*$D$4+D$9+$B$4,1)</f>
        <v>14.9</v>
      </c>
      <c r="E15" s="127"/>
      <c r="F15" s="106"/>
    </row>
    <row r="16" spans="2:7" ht="15">
      <c r="B16" s="129" t="s">
        <v>206</v>
      </c>
      <c r="C16" s="131">
        <f>COUNT(C12:C15)</f>
        <v>1</v>
      </c>
      <c r="D16" s="131">
        <f>COUNT(D12:D15)</f>
        <v>4</v>
      </c>
      <c r="E16" s="131">
        <f>COUNT(E12:E15)</f>
        <v>2</v>
      </c>
      <c r="F16" s="139">
        <f>SUM(C16:E16)</f>
        <v>7</v>
      </c>
      <c r="G16" s="104" t="s">
        <v>124</v>
      </c>
    </row>
    <row r="17" spans="2:7" ht="15">
      <c r="B17" s="129" t="s">
        <v>265</v>
      </c>
      <c r="C17" s="145">
        <f>SUM(C12:C15)</f>
        <v>12.6</v>
      </c>
      <c r="D17" s="145">
        <f>SUM(D12:D15)</f>
        <v>55.199999999999996</v>
      </c>
      <c r="E17" s="145">
        <f>SUM(E12:E15)</f>
        <v>11.1</v>
      </c>
      <c r="F17" s="138">
        <f>SUM(C17:E17)</f>
        <v>78.89999999999999</v>
      </c>
      <c r="G17" s="104" t="s">
        <v>123</v>
      </c>
    </row>
    <row r="18" spans="2:6" ht="15.75">
      <c r="B18" s="140" t="s">
        <v>125</v>
      </c>
      <c r="C18" s="145">
        <f>SUMSQ(C12:C15)</f>
        <v>158.76</v>
      </c>
      <c r="D18" s="145">
        <f>SUMSQ(D12:D15)</f>
        <v>763.98</v>
      </c>
      <c r="E18" s="145">
        <f>SUMSQ(E12:E15)</f>
        <v>61.730000000000004</v>
      </c>
      <c r="F18" s="138"/>
    </row>
    <row r="19" spans="2:6" ht="15.75">
      <c r="B19" s="129" t="s">
        <v>65</v>
      </c>
      <c r="C19" s="145">
        <f>C17^2/C16</f>
        <v>158.76</v>
      </c>
      <c r="D19" s="145">
        <f>D17^2/D16</f>
        <v>761.7599999999999</v>
      </c>
      <c r="E19" s="145">
        <f>E17^2/E16</f>
        <v>61.605</v>
      </c>
      <c r="F19" s="106"/>
    </row>
    <row r="20" spans="2:6" ht="15">
      <c r="B20" s="129" t="s">
        <v>66</v>
      </c>
      <c r="C20" s="145">
        <f>C17/C16</f>
        <v>12.6</v>
      </c>
      <c r="D20" s="145">
        <f>D17/D16</f>
        <v>13.799999999999999</v>
      </c>
      <c r="E20" s="145">
        <f>E17/E16</f>
        <v>5.55</v>
      </c>
      <c r="F20" s="106"/>
    </row>
    <row r="21" spans="2:7" ht="15">
      <c r="B21" s="129" t="s">
        <v>67</v>
      </c>
      <c r="C21" s="130">
        <f>C18-C17^2/C16</f>
        <v>0</v>
      </c>
      <c r="D21" s="130">
        <f>D18-D17^2/D16</f>
        <v>2.220000000000141</v>
      </c>
      <c r="E21" s="130">
        <f>E18-E17^2/E16</f>
        <v>0.1250000000000071</v>
      </c>
      <c r="F21" s="138">
        <f>SUM(C21:E21)</f>
        <v>2.345000000000148</v>
      </c>
      <c r="G21" s="104" t="s">
        <v>122</v>
      </c>
    </row>
    <row r="22" spans="2:7" ht="15">
      <c r="B22" s="129" t="s">
        <v>68</v>
      </c>
      <c r="C22" s="131">
        <f>C16-1</f>
        <v>0</v>
      </c>
      <c r="D22" s="131">
        <f>D16-1</f>
        <v>3</v>
      </c>
      <c r="E22" s="131">
        <f>E16-1</f>
        <v>1</v>
      </c>
      <c r="F22" s="139">
        <f>SUM(C22:E22)</f>
        <v>4</v>
      </c>
      <c r="G22" s="104" t="s">
        <v>93</v>
      </c>
    </row>
    <row r="23" spans="2:7" ht="15.75">
      <c r="B23" s="129" t="s">
        <v>340</v>
      </c>
      <c r="C23" s="130" t="e">
        <f>C21/C22</f>
        <v>#DIV/0!</v>
      </c>
      <c r="D23" s="130">
        <f>D21/D22</f>
        <v>0.740000000000047</v>
      </c>
      <c r="E23" s="130">
        <f>E21/E22</f>
        <v>0.1250000000000071</v>
      </c>
      <c r="F23" s="106"/>
      <c r="G23" s="106"/>
    </row>
    <row r="24" spans="1:7" ht="15">
      <c r="A24" s="125"/>
      <c r="B24" s="129" t="s">
        <v>69</v>
      </c>
      <c r="C24" s="130">
        <f>C16/$F$16</f>
        <v>0.14285714285714285</v>
      </c>
      <c r="D24" s="130">
        <f>D16/$F$16</f>
        <v>0.5714285714285714</v>
      </c>
      <c r="E24" s="130">
        <f>E16/$F$16</f>
        <v>0.2857142857142857</v>
      </c>
      <c r="F24" s="106"/>
      <c r="G24" s="106"/>
    </row>
    <row r="25" spans="1:7" ht="15">
      <c r="A25" s="125"/>
      <c r="B25" s="129" t="s">
        <v>303</v>
      </c>
      <c r="C25" s="145">
        <f>SQRT($C$7/C16)*TINV(1-$C$6,$F$22)</f>
        <v>2.125839728377971</v>
      </c>
      <c r="D25" s="145">
        <f>SQRT($C$7/D16)*TINV(1-$C$6,$F$22)</f>
        <v>1.0629198641889854</v>
      </c>
      <c r="E25" s="145">
        <f>SQRT($C$7/E16)*TINV(1-$C$6,$F$22)</f>
        <v>1.5031956876518315</v>
      </c>
      <c r="F25" s="106"/>
      <c r="G25" s="106"/>
    </row>
    <row r="26" spans="2:7" ht="15.75">
      <c r="B26" s="129" t="s">
        <v>341</v>
      </c>
      <c r="C26" s="145" t="e">
        <f>C23</f>
        <v>#DIV/0!</v>
      </c>
      <c r="D26" s="145">
        <f>D23</f>
        <v>0.740000000000047</v>
      </c>
      <c r="E26" s="145">
        <f>E23</f>
        <v>0.1250000000000071</v>
      </c>
      <c r="F26" s="106"/>
      <c r="G26" s="106"/>
    </row>
    <row r="27" spans="2:6" ht="15">
      <c r="B27" s="129" t="s">
        <v>298</v>
      </c>
      <c r="C27" s="146" t="e">
        <f>SQRT(C26/C16)*TINV(1-$C$6,C22)</f>
        <v>#DIV/0!</v>
      </c>
      <c r="D27" s="146">
        <f>SQRT(D26/D16)*TINV(1-$C$6,D22)</f>
        <v>1.3688219129767851</v>
      </c>
      <c r="E27" s="146">
        <f>SQRT(E26/E16)*TINV(1-$C$6,E22)</f>
        <v>3.176551183496835</v>
      </c>
      <c r="F27" s="133"/>
    </row>
    <row r="28" spans="2:6" ht="12.75">
      <c r="B28" s="134"/>
      <c r="C28" s="132"/>
      <c r="D28" s="132"/>
      <c r="E28" s="132"/>
      <c r="F28" s="133"/>
    </row>
    <row r="29" ht="12.75">
      <c r="B29" s="132"/>
    </row>
    <row r="30" ht="12.75">
      <c r="B30" s="132"/>
    </row>
    <row r="31" spans="1:8" ht="12.75">
      <c r="A31" s="125"/>
      <c r="B31" s="117"/>
      <c r="C31" s="169"/>
      <c r="D31" s="135"/>
      <c r="H31" s="107"/>
    </row>
    <row r="32" spans="2:8" ht="12.75">
      <c r="B32" s="136"/>
      <c r="C32" s="117"/>
      <c r="D32" s="135"/>
      <c r="H32" s="107"/>
    </row>
    <row r="33" spans="2:8" ht="12.75">
      <c r="B33" s="134"/>
      <c r="C33" s="133"/>
      <c r="D33" s="135"/>
      <c r="H33" s="107"/>
    </row>
    <row r="34" spans="2:8" ht="12.75">
      <c r="B34" s="117"/>
      <c r="C34" s="117"/>
      <c r="D34" s="135"/>
      <c r="H34" s="107"/>
    </row>
    <row r="35" spans="2:8" ht="12.75">
      <c r="B35" s="117"/>
      <c r="C35" s="117"/>
      <c r="D35" s="135"/>
      <c r="H35" s="107"/>
    </row>
    <row r="36" spans="1:8" ht="12.75">
      <c r="A36" s="125"/>
      <c r="B36" s="117"/>
      <c r="C36" s="117"/>
      <c r="D36" s="135"/>
      <c r="H36" s="107"/>
    </row>
    <row r="37" spans="2:8" ht="12.75">
      <c r="B37" s="132"/>
      <c r="C37" s="117"/>
      <c r="D37" s="135"/>
      <c r="H37" s="107"/>
    </row>
    <row r="38" spans="2:8" ht="12.75">
      <c r="B38" s="132"/>
      <c r="C38" s="117"/>
      <c r="D38" s="135"/>
      <c r="H38" s="107"/>
    </row>
    <row r="39" spans="2:8" ht="12.75">
      <c r="B39" s="132"/>
      <c r="C39" s="117"/>
      <c r="D39" s="135"/>
      <c r="H39" s="107"/>
    </row>
    <row r="40" spans="2:8" ht="12.75">
      <c r="B40" s="132"/>
      <c r="C40" s="117"/>
      <c r="D40" s="135"/>
      <c r="H40" s="107"/>
    </row>
    <row r="41" spans="2:8" ht="12.75">
      <c r="B41" s="132"/>
      <c r="C41" s="117"/>
      <c r="D41" s="135"/>
      <c r="H41" s="107"/>
    </row>
    <row r="42" spans="3:8" ht="12.75">
      <c r="C42" s="105"/>
      <c r="H42" s="107"/>
    </row>
    <row r="43" spans="3:8" ht="12.75">
      <c r="C43" s="136"/>
      <c r="H43" s="107"/>
    </row>
    <row r="44" spans="3:8" ht="12.75">
      <c r="C44" s="136"/>
      <c r="H44" s="107"/>
    </row>
    <row r="45" spans="3:8" ht="12.75">
      <c r="C45" s="136"/>
      <c r="H45" s="107"/>
    </row>
    <row r="46" ht="12.75">
      <c r="C46" s="137"/>
    </row>
    <row r="47" ht="12.75">
      <c r="C47" s="137"/>
    </row>
    <row r="48" ht="12.75">
      <c r="C48" s="137"/>
    </row>
    <row r="49" ht="12.75">
      <c r="C49" s="137"/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0"/>
  <sheetViews>
    <sheetView zoomScale="125" zoomScaleNormal="125" workbookViewId="0" topLeftCell="A79">
      <selection activeCell="H43" sqref="H43"/>
    </sheetView>
  </sheetViews>
  <sheetFormatPr defaultColWidth="11.00390625" defaultRowHeight="12.75"/>
  <cols>
    <col min="1" max="1" width="6.25390625" style="108" customWidth="1"/>
    <col min="2" max="2" width="13.375" style="107" customWidth="1"/>
    <col min="3" max="5" width="13.375" style="104" customWidth="1"/>
    <col min="6" max="6" width="11.875" style="104" customWidth="1"/>
    <col min="7" max="7" width="9.875" style="104" customWidth="1"/>
    <col min="8" max="16384" width="10.75390625" style="104" customWidth="1"/>
  </cols>
  <sheetData>
    <row r="1" spans="1:7" ht="12.75">
      <c r="A1" s="125" t="s">
        <v>182</v>
      </c>
      <c r="B1" s="104"/>
      <c r="C1" s="143" t="s">
        <v>204</v>
      </c>
      <c r="D1" s="143" t="s">
        <v>205</v>
      </c>
      <c r="E1" s="143" t="s">
        <v>85</v>
      </c>
      <c r="F1" s="551" t="s">
        <v>128</v>
      </c>
      <c r="G1" s="551"/>
    </row>
    <row r="2" spans="2:6" ht="12.75">
      <c r="B2" s="106"/>
      <c r="C2" s="126">
        <v>9.9</v>
      </c>
      <c r="D2" s="126">
        <v>4</v>
      </c>
      <c r="E2" s="126">
        <v>18</v>
      </c>
      <c r="F2" s="106"/>
    </row>
    <row r="3" spans="2:6" ht="12.75">
      <c r="B3" s="106"/>
      <c r="C3" s="126"/>
      <c r="D3" s="126">
        <v>9.8</v>
      </c>
      <c r="E3" s="126">
        <v>14.2</v>
      </c>
      <c r="F3" s="106"/>
    </row>
    <row r="4" spans="2:6" ht="12.75">
      <c r="B4" s="106"/>
      <c r="C4" s="126"/>
      <c r="D4" s="126">
        <v>6.3</v>
      </c>
      <c r="E4" s="126"/>
      <c r="F4" s="106"/>
    </row>
    <row r="5" spans="2:6" ht="13.5" thickBot="1">
      <c r="B5" s="106"/>
      <c r="C5" s="189"/>
      <c r="D5" s="126">
        <v>7.8</v>
      </c>
      <c r="E5" s="189"/>
      <c r="F5" s="106"/>
    </row>
    <row r="6" spans="2:7" ht="15.75" thickBot="1">
      <c r="B6" s="129" t="s">
        <v>206</v>
      </c>
      <c r="C6" s="190">
        <f>COUNT(C2:C5)</f>
        <v>1</v>
      </c>
      <c r="D6" s="191">
        <f>COUNT(D2:D5)</f>
        <v>4</v>
      </c>
      <c r="E6" s="192">
        <f>COUNT(E2:E5)</f>
        <v>2</v>
      </c>
      <c r="F6" s="186">
        <f>SUM(C6:E6)</f>
        <v>7</v>
      </c>
      <c r="G6" s="185" t="s">
        <v>124</v>
      </c>
    </row>
    <row r="7" spans="2:7" ht="15.75" thickBot="1">
      <c r="B7" s="129" t="s">
        <v>265</v>
      </c>
      <c r="C7" s="193">
        <f>SUM(C2:C5)</f>
        <v>9.9</v>
      </c>
      <c r="D7" s="194">
        <f>SUM(D2:D5)</f>
        <v>27.900000000000002</v>
      </c>
      <c r="E7" s="195">
        <f>SUM(E2:E5)</f>
        <v>32.2</v>
      </c>
      <c r="F7" s="184">
        <f>SUM(C7:E7)</f>
        <v>70</v>
      </c>
      <c r="G7" s="185" t="s">
        <v>123</v>
      </c>
    </row>
    <row r="8" spans="2:6" ht="15.75">
      <c r="B8" s="140" t="s">
        <v>125</v>
      </c>
      <c r="C8" s="178">
        <f>SUMSQ(C2:C5)</f>
        <v>98.01</v>
      </c>
      <c r="D8" s="178">
        <f>SUMSQ(D2:D5)</f>
        <v>212.57000000000002</v>
      </c>
      <c r="E8" s="178">
        <f>SUMSQ(E2:E5)</f>
        <v>525.64</v>
      </c>
      <c r="F8" s="179"/>
    </row>
    <row r="9" spans="2:6" ht="16.5" thickBot="1">
      <c r="B9" s="129" t="s">
        <v>65</v>
      </c>
      <c r="C9" s="178">
        <f>C7^2/C6</f>
        <v>98.01</v>
      </c>
      <c r="D9" s="178">
        <f>D7^2/D6</f>
        <v>194.60250000000002</v>
      </c>
      <c r="E9" s="178">
        <f>E7^2/E6</f>
        <v>518.4200000000001</v>
      </c>
      <c r="F9" s="179"/>
    </row>
    <row r="10" spans="2:7" ht="15.75" thickBot="1">
      <c r="B10" s="129" t="s">
        <v>66</v>
      </c>
      <c r="C10" s="193">
        <f>C7/C6</f>
        <v>9.9</v>
      </c>
      <c r="D10" s="194">
        <f>D7/D6</f>
        <v>6.9750000000000005</v>
      </c>
      <c r="E10" s="195">
        <f>E7/E6</f>
        <v>16.1</v>
      </c>
      <c r="F10" s="187" t="s">
        <v>231</v>
      </c>
      <c r="G10" s="188">
        <f>F7/F6</f>
        <v>10</v>
      </c>
    </row>
    <row r="11" spans="2:7" ht="15.75" thickBot="1">
      <c r="B11" s="129" t="s">
        <v>67</v>
      </c>
      <c r="C11" s="193">
        <f>C8-C7^2/C6</f>
        <v>0</v>
      </c>
      <c r="D11" s="194">
        <f>D8-D7^2/D6</f>
        <v>17.9675</v>
      </c>
      <c r="E11" s="195">
        <f>E8-E7^2/E6</f>
        <v>7.219999999999914</v>
      </c>
      <c r="F11" s="205">
        <f>SUM(C11:E11)</f>
        <v>25.187499999999915</v>
      </c>
      <c r="G11" s="206" t="s">
        <v>122</v>
      </c>
    </row>
    <row r="12" spans="2:7" ht="15.75" thickBot="1">
      <c r="B12" s="129" t="s">
        <v>68</v>
      </c>
      <c r="C12" s="190">
        <f>C6-1</f>
        <v>0</v>
      </c>
      <c r="D12" s="191">
        <f>D6-1</f>
        <v>3</v>
      </c>
      <c r="E12" s="192">
        <f>E6-1</f>
        <v>1</v>
      </c>
      <c r="F12" s="207">
        <f>SUM(C12:E12)</f>
        <v>4</v>
      </c>
      <c r="G12" s="208" t="s">
        <v>93</v>
      </c>
    </row>
    <row r="13" spans="2:7" ht="16.5" thickBot="1">
      <c r="B13" s="129" t="s">
        <v>340</v>
      </c>
      <c r="C13" s="193" t="s">
        <v>91</v>
      </c>
      <c r="D13" s="194">
        <f>D11/D12</f>
        <v>5.989166666666667</v>
      </c>
      <c r="E13" s="195">
        <f>E11/E12</f>
        <v>7.219999999999914</v>
      </c>
      <c r="F13" s="209">
        <f>F11/F12</f>
        <v>6.296874999999979</v>
      </c>
      <c r="G13" s="210" t="s">
        <v>257</v>
      </c>
    </row>
    <row r="14" spans="1:7" ht="15.75" thickBot="1">
      <c r="A14" s="125"/>
      <c r="B14" s="129" t="s">
        <v>69</v>
      </c>
      <c r="C14" s="193">
        <f>C12/$F$12</f>
        <v>0</v>
      </c>
      <c r="D14" s="194">
        <f>D12/$F$12</f>
        <v>0.75</v>
      </c>
      <c r="E14" s="195">
        <f>E12/$F$12</f>
        <v>0.25</v>
      </c>
      <c r="F14" s="106"/>
      <c r="G14" s="106"/>
    </row>
    <row r="15" spans="1:7" ht="15.75" thickBot="1">
      <c r="A15" s="125"/>
      <c r="B15" s="129" t="s">
        <v>303</v>
      </c>
      <c r="C15" s="193">
        <f>SQRT($C$20/C6)*TINV(1-$C$19,$F$12)</f>
        <v>3.8473626399960184</v>
      </c>
      <c r="D15" s="194">
        <f>SQRT($C$20/D6)*TINV(1-$C$19,$F$12)</f>
        <v>1.9236813199980092</v>
      </c>
      <c r="E15" s="195">
        <f>SQRT($C$20/E6)*TINV(1-$C$19,$F$12)</f>
        <v>2.7204962124249623</v>
      </c>
      <c r="F15" s="106"/>
      <c r="G15" s="106"/>
    </row>
    <row r="16" spans="2:7" ht="16.5" thickBot="1">
      <c r="B16" s="129" t="s">
        <v>341</v>
      </c>
      <c r="C16" s="178" t="str">
        <f>C13</f>
        <v>X</v>
      </c>
      <c r="D16" s="178">
        <f>D13</f>
        <v>5.989166666666667</v>
      </c>
      <c r="E16" s="178">
        <f>E13</f>
        <v>7.219999999999914</v>
      </c>
      <c r="F16" s="106"/>
      <c r="G16" s="106"/>
    </row>
    <row r="17" spans="2:6" ht="15.75" thickBot="1">
      <c r="B17" s="129" t="s">
        <v>298</v>
      </c>
      <c r="C17" s="211" t="s">
        <v>92</v>
      </c>
      <c r="D17" s="212">
        <f>SQRT(D16/D6)*TINV(1-$C$19,D12)</f>
        <v>2.004007369156413</v>
      </c>
      <c r="E17" s="213">
        <f>SQRT(E16/E6)*TINV(1-$C$19,E12)</f>
        <v>5.847598719559611</v>
      </c>
      <c r="F17" s="133"/>
    </row>
    <row r="18" spans="2:6" ht="12.75">
      <c r="B18" s="134"/>
      <c r="C18" s="132"/>
      <c r="D18" s="132"/>
      <c r="E18" s="132"/>
      <c r="F18" s="133"/>
    </row>
    <row r="19" spans="2:5" ht="12.75">
      <c r="B19" s="134" t="s">
        <v>126</v>
      </c>
      <c r="C19" s="141">
        <v>0.8</v>
      </c>
      <c r="D19" s="132"/>
      <c r="E19" s="132"/>
    </row>
    <row r="20" spans="2:3" ht="12.75">
      <c r="B20" s="134" t="s">
        <v>127</v>
      </c>
      <c r="C20" s="176">
        <f>F11/F12</f>
        <v>6.296874999999979</v>
      </c>
    </row>
    <row r="21" spans="2:3" ht="12.75">
      <c r="B21" s="134"/>
      <c r="C21" s="142"/>
    </row>
    <row r="22" spans="1:2" ht="12.75">
      <c r="A22" s="108" t="s">
        <v>274</v>
      </c>
      <c r="B22" s="107" t="s">
        <v>232</v>
      </c>
    </row>
    <row r="23" spans="2:3" ht="12.75">
      <c r="B23" s="134"/>
      <c r="C23" s="142"/>
    </row>
    <row r="24" spans="1:3" ht="12.75">
      <c r="A24" s="108" t="s">
        <v>63</v>
      </c>
      <c r="B24" s="107" t="s">
        <v>43</v>
      </c>
      <c r="C24" s="142"/>
    </row>
    <row r="25" ht="12.75">
      <c r="C25" s="142"/>
    </row>
    <row r="26" spans="1:3" ht="12.75">
      <c r="A26" s="108" t="s">
        <v>233</v>
      </c>
      <c r="B26" s="107" t="s">
        <v>43</v>
      </c>
      <c r="C26" s="142"/>
    </row>
    <row r="27" ht="12.75">
      <c r="C27" s="142"/>
    </row>
    <row r="28" spans="1:3" ht="12.75">
      <c r="A28" s="108" t="s">
        <v>234</v>
      </c>
      <c r="B28" s="107" t="s">
        <v>43</v>
      </c>
      <c r="C28" s="142"/>
    </row>
    <row r="29" ht="13.5" thickBot="1"/>
    <row r="30" spans="1:5" ht="15">
      <c r="A30" s="108" t="s">
        <v>254</v>
      </c>
      <c r="B30" s="196" t="s">
        <v>69</v>
      </c>
      <c r="C30" s="197">
        <f>C14</f>
        <v>0</v>
      </c>
      <c r="D30" s="197">
        <f>D14</f>
        <v>0.75</v>
      </c>
      <c r="E30" s="198">
        <f>E14</f>
        <v>0.25</v>
      </c>
    </row>
    <row r="31" spans="2:5" ht="15.75">
      <c r="B31" s="199" t="s">
        <v>340</v>
      </c>
      <c r="C31" s="177"/>
      <c r="D31" s="177">
        <f>D13</f>
        <v>5.989166666666667</v>
      </c>
      <c r="E31" s="200">
        <f>E13</f>
        <v>7.219999999999914</v>
      </c>
    </row>
    <row r="32" spans="2:5" ht="15.75" thickBot="1">
      <c r="B32" s="201" t="s">
        <v>255</v>
      </c>
      <c r="C32" s="202">
        <f>SUMPRODUCT(C30:E30,C31:E31)</f>
        <v>6.296874999999979</v>
      </c>
      <c r="D32" s="203" t="s">
        <v>260</v>
      </c>
      <c r="E32" s="204"/>
    </row>
    <row r="33" spans="2:5" ht="12.75">
      <c r="B33" s="129"/>
      <c r="C33" s="142"/>
      <c r="D33" s="142"/>
      <c r="E33" s="142"/>
    </row>
    <row r="34" spans="1:2" ht="12.75">
      <c r="A34" s="108" t="s">
        <v>227</v>
      </c>
      <c r="B34" s="107" t="s">
        <v>232</v>
      </c>
    </row>
    <row r="35" spans="2:3" ht="12.75">
      <c r="B35" s="134"/>
      <c r="C35" s="142"/>
    </row>
    <row r="36" spans="1:3" ht="12.75">
      <c r="A36" s="108" t="s">
        <v>228</v>
      </c>
      <c r="B36" s="107" t="s">
        <v>43</v>
      </c>
      <c r="C36" s="142"/>
    </row>
    <row r="38" spans="1:3" ht="12.75">
      <c r="A38" s="108" t="s">
        <v>229</v>
      </c>
      <c r="B38" s="107" t="s">
        <v>43</v>
      </c>
      <c r="C38" s="142"/>
    </row>
    <row r="39" ht="12.75">
      <c r="C39" s="142"/>
    </row>
    <row r="40" ht="13.5" thickBot="1">
      <c r="C40" s="142"/>
    </row>
    <row r="41" spans="1:8" ht="12.75">
      <c r="A41" s="108" t="s">
        <v>230</v>
      </c>
      <c r="B41" s="214" t="s">
        <v>52</v>
      </c>
      <c r="C41" s="215"/>
      <c r="D41" s="216"/>
      <c r="E41" s="216"/>
      <c r="F41" s="216"/>
      <c r="G41" s="216"/>
      <c r="H41" s="206"/>
    </row>
    <row r="42" spans="2:8" ht="12.75">
      <c r="B42" s="217" t="s">
        <v>446</v>
      </c>
      <c r="C42" s="174" t="s">
        <v>53</v>
      </c>
      <c r="D42" s="175" t="s">
        <v>54</v>
      </c>
      <c r="E42" s="175" t="s">
        <v>447</v>
      </c>
      <c r="F42" s="175" t="s">
        <v>291</v>
      </c>
      <c r="G42" s="175" t="s">
        <v>448</v>
      </c>
      <c r="H42" s="218" t="s">
        <v>129</v>
      </c>
    </row>
    <row r="43" spans="2:8" ht="12.75">
      <c r="B43" s="219" t="s">
        <v>292</v>
      </c>
      <c r="C43" s="173">
        <v>2</v>
      </c>
      <c r="D43" s="172">
        <f>SUM(C9:E9)-F7^2/F6</f>
        <v>111.03250000000003</v>
      </c>
      <c r="E43" s="172">
        <f>D43/C43</f>
        <v>55.516250000000014</v>
      </c>
      <c r="F43" s="172">
        <f>E43/E44</f>
        <v>8.81647642679904</v>
      </c>
      <c r="G43" s="172">
        <f>FINV(0.05,C43,C44)</f>
        <v>6.944271910032095</v>
      </c>
      <c r="H43" s="220" t="str">
        <f>IF(F43&gt;G43,"Reject H0","Do not reject H0")</f>
        <v>Reject H0</v>
      </c>
    </row>
    <row r="44" spans="2:8" ht="13.5" thickBot="1">
      <c r="B44" s="221" t="s">
        <v>449</v>
      </c>
      <c r="C44" s="222">
        <f>F12</f>
        <v>4</v>
      </c>
      <c r="D44" s="223">
        <f>F11</f>
        <v>25.187499999999915</v>
      </c>
      <c r="E44" s="223">
        <f>D44/C44</f>
        <v>6.296874999999979</v>
      </c>
      <c r="F44" s="223"/>
      <c r="G44" s="223"/>
      <c r="H44" s="210"/>
    </row>
    <row r="45" ht="12.75">
      <c r="C45" s="142"/>
    </row>
    <row r="46" ht="12.75">
      <c r="C46" s="142"/>
    </row>
    <row r="47" ht="12.75">
      <c r="C47" s="142"/>
    </row>
    <row r="49" spans="1:8" ht="15">
      <c r="A49" s="125" t="s">
        <v>273</v>
      </c>
      <c r="B49" s="150" t="s">
        <v>186</v>
      </c>
      <c r="C49" s="136">
        <f>C50^2</f>
        <v>100</v>
      </c>
      <c r="D49" s="143" t="s">
        <v>188</v>
      </c>
      <c r="E49" s="143" t="s">
        <v>189</v>
      </c>
      <c r="F49" s="143" t="s">
        <v>190</v>
      </c>
      <c r="H49" s="107"/>
    </row>
    <row r="50" spans="1:8" ht="12.75">
      <c r="A50" s="125"/>
      <c r="B50" s="150" t="s">
        <v>187</v>
      </c>
      <c r="C50" s="136">
        <v>10</v>
      </c>
      <c r="D50" s="151">
        <v>6</v>
      </c>
      <c r="E50" s="151">
        <v>4</v>
      </c>
      <c r="F50" s="151">
        <v>5</v>
      </c>
      <c r="H50" s="107"/>
    </row>
    <row r="51" spans="1:8" ht="13.5" thickBot="1">
      <c r="A51" s="125"/>
      <c r="B51" s="150"/>
      <c r="C51" s="117"/>
      <c r="D51" s="135"/>
      <c r="H51" s="107"/>
    </row>
    <row r="52" spans="1:8" ht="12.75">
      <c r="A52" s="108" t="s">
        <v>274</v>
      </c>
      <c r="B52" s="224" t="s">
        <v>275</v>
      </c>
      <c r="C52" s="225">
        <f>3-1</f>
        <v>2</v>
      </c>
      <c r="D52" s="135"/>
      <c r="H52" s="107"/>
    </row>
    <row r="53" spans="2:8" ht="13.5" thickBot="1">
      <c r="B53" s="226" t="s">
        <v>276</v>
      </c>
      <c r="C53" s="227">
        <f>D50+E50+F50-3</f>
        <v>12</v>
      </c>
      <c r="D53" s="135"/>
      <c r="H53" s="107"/>
    </row>
    <row r="54" spans="2:8" ht="12.75">
      <c r="B54" s="113"/>
      <c r="C54" s="136"/>
      <c r="D54" s="135"/>
      <c r="H54" s="107"/>
    </row>
    <row r="55" spans="1:8" ht="12.75">
      <c r="A55" s="108" t="s">
        <v>63</v>
      </c>
      <c r="B55" s="113" t="s">
        <v>434</v>
      </c>
      <c r="C55" s="136">
        <f>C49</f>
        <v>100</v>
      </c>
      <c r="D55" s="135"/>
      <c r="H55" s="107"/>
    </row>
    <row r="56" spans="1:8" ht="12.75">
      <c r="A56" s="125"/>
      <c r="B56" s="113" t="s">
        <v>435</v>
      </c>
      <c r="C56" s="136">
        <f>C49</f>
        <v>100</v>
      </c>
      <c r="D56" s="135"/>
      <c r="H56" s="107"/>
    </row>
    <row r="57" spans="2:8" ht="12.75">
      <c r="B57" s="133" t="s">
        <v>62</v>
      </c>
      <c r="C57" s="136"/>
      <c r="D57" s="135"/>
      <c r="H57" s="107"/>
    </row>
    <row r="58" spans="2:8" ht="13.5" thickBot="1">
      <c r="B58" s="134"/>
      <c r="C58" s="136"/>
      <c r="D58" s="135"/>
      <c r="H58" s="107"/>
    </row>
    <row r="59" spans="1:8" ht="15">
      <c r="A59" s="108" t="s">
        <v>64</v>
      </c>
      <c r="B59" s="214"/>
      <c r="C59" s="228" t="s">
        <v>191</v>
      </c>
      <c r="D59" s="228" t="s">
        <v>418</v>
      </c>
      <c r="E59" s="229" t="s">
        <v>419</v>
      </c>
      <c r="H59" s="107"/>
    </row>
    <row r="60" spans="2:8" ht="15.75">
      <c r="B60" s="230" t="s">
        <v>296</v>
      </c>
      <c r="C60" s="177">
        <f>$C$49/D50</f>
        <v>16.666666666666668</v>
      </c>
      <c r="D60" s="177">
        <f>$C$49/E50</f>
        <v>25</v>
      </c>
      <c r="E60" s="200">
        <f>$C$49/F50</f>
        <v>20</v>
      </c>
      <c r="H60" s="107"/>
    </row>
    <row r="61" spans="2:8" ht="15.75" thickBot="1">
      <c r="B61" s="231" t="s">
        <v>297</v>
      </c>
      <c r="C61" s="232">
        <f>SQRT(C60)</f>
        <v>4.08248290463863</v>
      </c>
      <c r="D61" s="232">
        <f>SQRT($C$49/E50)</f>
        <v>5</v>
      </c>
      <c r="E61" s="233">
        <f>SQRT($C$49/F50)</f>
        <v>4.47213595499958</v>
      </c>
      <c r="H61" s="107"/>
    </row>
    <row r="62" spans="3:8" ht="13.5" thickBot="1">
      <c r="C62" s="117"/>
      <c r="D62" s="135"/>
      <c r="H62" s="107"/>
    </row>
    <row r="63" spans="1:8" ht="12.75">
      <c r="A63" s="108" t="s">
        <v>420</v>
      </c>
      <c r="B63" s="234" t="s">
        <v>421</v>
      </c>
      <c r="C63" s="235">
        <f>C52+C53</f>
        <v>14</v>
      </c>
      <c r="H63" s="107"/>
    </row>
    <row r="64" spans="2:8" ht="13.5" thickBot="1">
      <c r="B64" s="221" t="s">
        <v>422</v>
      </c>
      <c r="C64" s="227">
        <f>C63*C49</f>
        <v>1400</v>
      </c>
      <c r="H64" s="107"/>
    </row>
    <row r="65" spans="3:8" ht="12.75">
      <c r="C65" s="136"/>
      <c r="H65" s="107"/>
    </row>
    <row r="66" spans="3:8" ht="12.75">
      <c r="C66" s="136"/>
      <c r="H66" s="107"/>
    </row>
    <row r="67" spans="1:8" ht="15">
      <c r="A67" s="125" t="s">
        <v>423</v>
      </c>
      <c r="B67" s="152" t="s">
        <v>368</v>
      </c>
      <c r="C67" s="143" t="s">
        <v>214</v>
      </c>
      <c r="D67" s="143" t="s">
        <v>215</v>
      </c>
      <c r="E67" s="143" t="s">
        <v>369</v>
      </c>
      <c r="F67" s="135"/>
      <c r="H67" s="107"/>
    </row>
    <row r="68" spans="2:8" ht="12.75">
      <c r="B68" s="117">
        <v>6</v>
      </c>
      <c r="C68" s="117">
        <f>3*B68</f>
        <v>18</v>
      </c>
      <c r="D68" s="166">
        <f>4*B68</f>
        <v>24</v>
      </c>
      <c r="E68" s="166">
        <f>B68*(3*4)</f>
        <v>72</v>
      </c>
      <c r="F68" s="135"/>
      <c r="H68" s="107"/>
    </row>
    <row r="69" spans="2:8" ht="12.75">
      <c r="B69" s="117"/>
      <c r="C69" s="117"/>
      <c r="D69" s="166"/>
      <c r="E69" s="166"/>
      <c r="F69" s="135"/>
      <c r="H69" s="107"/>
    </row>
    <row r="70" spans="3:7" ht="15.75" customHeight="1">
      <c r="C70" s="550" t="s">
        <v>424</v>
      </c>
      <c r="D70" s="550"/>
      <c r="E70" s="550"/>
      <c r="F70" s="550"/>
      <c r="G70" s="153"/>
    </row>
    <row r="71" spans="2:7" ht="12.75">
      <c r="B71" s="180" t="s">
        <v>425</v>
      </c>
      <c r="C71" s="148" t="s">
        <v>266</v>
      </c>
      <c r="D71" s="148" t="s">
        <v>267</v>
      </c>
      <c r="E71" s="148" t="s">
        <v>268</v>
      </c>
      <c r="F71" s="148" t="s">
        <v>269</v>
      </c>
      <c r="G71" s="147" t="s">
        <v>428</v>
      </c>
    </row>
    <row r="72" spans="2:7" ht="12.75">
      <c r="B72" s="154" t="s">
        <v>270</v>
      </c>
      <c r="C72" s="161">
        <v>20</v>
      </c>
      <c r="D72" s="161">
        <v>30</v>
      </c>
      <c r="E72" s="161">
        <v>25</v>
      </c>
      <c r="F72" s="161">
        <v>15</v>
      </c>
      <c r="G72" s="170">
        <f>AVERAGE(C72:F72)</f>
        <v>22.5</v>
      </c>
    </row>
    <row r="73" spans="2:7" ht="12.75">
      <c r="B73" s="154" t="s">
        <v>271</v>
      </c>
      <c r="C73" s="161">
        <v>22</v>
      </c>
      <c r="D73" s="161">
        <v>35</v>
      </c>
      <c r="E73" s="161">
        <v>25</v>
      </c>
      <c r="F73" s="161">
        <v>25</v>
      </c>
      <c r="G73" s="170">
        <f>AVERAGE(C73:F73)</f>
        <v>26.75</v>
      </c>
    </row>
    <row r="74" spans="2:7" ht="12.75">
      <c r="B74" s="155" t="s">
        <v>272</v>
      </c>
      <c r="C74" s="162">
        <v>29</v>
      </c>
      <c r="D74" s="162">
        <v>31</v>
      </c>
      <c r="E74" s="162">
        <v>30</v>
      </c>
      <c r="F74" s="162">
        <v>30</v>
      </c>
      <c r="G74" s="171">
        <f>AVERAGE(C74:F74)</f>
        <v>30</v>
      </c>
    </row>
    <row r="75" spans="2:8" ht="12.75">
      <c r="B75" s="154" t="s">
        <v>426</v>
      </c>
      <c r="C75" s="156">
        <f>AVERAGE(C72:C74)</f>
        <v>23.666666666666668</v>
      </c>
      <c r="D75" s="156">
        <f>AVERAGE(D72:D74)</f>
        <v>32</v>
      </c>
      <c r="E75" s="156">
        <f>AVERAGE(E72:E74)</f>
        <v>26.666666666666668</v>
      </c>
      <c r="F75" s="156">
        <f>AVERAGE(F72:F74)</f>
        <v>23.333333333333332</v>
      </c>
      <c r="G75" s="170">
        <f>AVERAGE(G72:G74)</f>
        <v>26.416666666666668</v>
      </c>
      <c r="H75" s="104" t="s">
        <v>427</v>
      </c>
    </row>
    <row r="77" spans="3:7" ht="12.75">
      <c r="C77" s="550" t="s">
        <v>424</v>
      </c>
      <c r="D77" s="550"/>
      <c r="E77" s="550"/>
      <c r="F77" s="550"/>
      <c r="G77" s="153"/>
    </row>
    <row r="78" spans="2:7" ht="12.75">
      <c r="B78" s="180" t="s">
        <v>429</v>
      </c>
      <c r="C78" s="148" t="s">
        <v>266</v>
      </c>
      <c r="D78" s="148" t="s">
        <v>267</v>
      </c>
      <c r="E78" s="148" t="s">
        <v>268</v>
      </c>
      <c r="F78" s="148" t="s">
        <v>269</v>
      </c>
      <c r="G78" s="147" t="s">
        <v>428</v>
      </c>
    </row>
    <row r="79" spans="2:7" ht="12.75">
      <c r="B79" s="154" t="s">
        <v>270</v>
      </c>
      <c r="C79" s="157">
        <f aca="true" t="shared" si="0" ref="C79:F81">C72*$B$68</f>
        <v>120</v>
      </c>
      <c r="D79" s="157">
        <f t="shared" si="0"/>
        <v>180</v>
      </c>
      <c r="E79" s="157">
        <f t="shared" si="0"/>
        <v>150</v>
      </c>
      <c r="F79" s="157">
        <f t="shared" si="0"/>
        <v>90</v>
      </c>
      <c r="G79" s="158">
        <f>SUM(C79:F79)</f>
        <v>540</v>
      </c>
    </row>
    <row r="80" spans="2:7" ht="12.75">
      <c r="B80" s="154" t="s">
        <v>271</v>
      </c>
      <c r="C80" s="157">
        <f t="shared" si="0"/>
        <v>132</v>
      </c>
      <c r="D80" s="157">
        <f t="shared" si="0"/>
        <v>210</v>
      </c>
      <c r="E80" s="157">
        <f t="shared" si="0"/>
        <v>150</v>
      </c>
      <c r="F80" s="157">
        <f t="shared" si="0"/>
        <v>150</v>
      </c>
      <c r="G80" s="158">
        <f>SUM(C80:F80)</f>
        <v>642</v>
      </c>
    </row>
    <row r="81" spans="2:7" ht="12.75">
      <c r="B81" s="155" t="s">
        <v>272</v>
      </c>
      <c r="C81" s="159">
        <f t="shared" si="0"/>
        <v>174</v>
      </c>
      <c r="D81" s="159">
        <f t="shared" si="0"/>
        <v>186</v>
      </c>
      <c r="E81" s="159">
        <f t="shared" si="0"/>
        <v>180</v>
      </c>
      <c r="F81" s="159">
        <f t="shared" si="0"/>
        <v>180</v>
      </c>
      <c r="G81" s="160">
        <f>SUM(C81:F81)</f>
        <v>720</v>
      </c>
    </row>
    <row r="82" spans="2:8" ht="12.75">
      <c r="B82" s="154" t="s">
        <v>430</v>
      </c>
      <c r="C82" s="157">
        <f>SUM(C79:C81)</f>
        <v>426</v>
      </c>
      <c r="D82" s="157">
        <f>SUM(D79:D81)</f>
        <v>576</v>
      </c>
      <c r="E82" s="157">
        <f>SUM(E79:E81)</f>
        <v>480</v>
      </c>
      <c r="F82" s="157">
        <f>SUM(F79:F81)</f>
        <v>420</v>
      </c>
      <c r="G82" s="158">
        <f>SUM(G79:G81)</f>
        <v>1902</v>
      </c>
      <c r="H82" s="104" t="s">
        <v>431</v>
      </c>
    </row>
    <row r="84" spans="2:7" ht="15">
      <c r="B84" s="163" t="s">
        <v>432</v>
      </c>
      <c r="C84" s="165">
        <f>SUMSQ(C79:F81)</f>
        <v>313596</v>
      </c>
      <c r="D84" s="149"/>
      <c r="E84"/>
      <c r="F84" s="149"/>
      <c r="G84"/>
    </row>
    <row r="85" spans="2:7" ht="13.5">
      <c r="B85" s="164" t="s">
        <v>367</v>
      </c>
      <c r="C85" s="165">
        <f>G82^2</f>
        <v>3617604</v>
      </c>
      <c r="D85" s="149"/>
      <c r="E85"/>
      <c r="F85"/>
      <c r="G85" s="149"/>
    </row>
    <row r="86" spans="2:7" ht="15">
      <c r="B86" s="163" t="s">
        <v>433</v>
      </c>
      <c r="C86" s="165">
        <v>56106</v>
      </c>
      <c r="D86" s="149"/>
      <c r="E86"/>
      <c r="F86"/>
      <c r="G86"/>
    </row>
    <row r="88" spans="1:3" ht="12.75">
      <c r="A88" s="108" t="s">
        <v>262</v>
      </c>
      <c r="B88" s="134" t="s">
        <v>295</v>
      </c>
      <c r="C88" s="167">
        <v>0.95</v>
      </c>
    </row>
    <row r="89" spans="2:3" ht="12.75">
      <c r="B89" s="172" t="s">
        <v>293</v>
      </c>
      <c r="C89" s="181">
        <f>C86-C84/B68</f>
        <v>3840</v>
      </c>
    </row>
    <row r="90" spans="2:3" ht="12.75">
      <c r="B90" s="172" t="s">
        <v>294</v>
      </c>
      <c r="C90" s="241">
        <f>12*(B68-1)</f>
        <v>60</v>
      </c>
    </row>
    <row r="91" spans="2:3" ht="12.75">
      <c r="B91" s="129" t="s">
        <v>261</v>
      </c>
      <c r="C91" s="182">
        <f>C89/C90</f>
        <v>64</v>
      </c>
    </row>
    <row r="92" spans="2:3" ht="13.5">
      <c r="B92" s="129" t="s">
        <v>183</v>
      </c>
      <c r="C92" s="182">
        <f>SQRT(C91/B68)</f>
        <v>3.265986323710904</v>
      </c>
    </row>
    <row r="93" spans="2:3" ht="13.5" thickBot="1">
      <c r="B93" s="168" t="s">
        <v>184</v>
      </c>
      <c r="C93" s="182">
        <f>TINV(1-C88,C90)</f>
        <v>2.000297804329535</v>
      </c>
    </row>
    <row r="94" spans="2:3" ht="15.75" thickBot="1">
      <c r="B94" s="236" t="s">
        <v>185</v>
      </c>
      <c r="C94" s="237">
        <f>C92*C93</f>
        <v>6.532945272289212</v>
      </c>
    </row>
    <row r="95" spans="2:3" ht="12.75">
      <c r="B95" s="134"/>
      <c r="C95" s="137"/>
    </row>
    <row r="96" spans="1:3" ht="12.75">
      <c r="A96" s="108" t="s">
        <v>63</v>
      </c>
      <c r="B96" s="172" t="s">
        <v>263</v>
      </c>
      <c r="C96" s="183">
        <f>C84/B68-C85/E68</f>
        <v>2021.5</v>
      </c>
    </row>
    <row r="97" spans="2:3" ht="12.75">
      <c r="B97" s="172" t="s">
        <v>293</v>
      </c>
      <c r="C97" s="183">
        <f>C89</f>
        <v>3840</v>
      </c>
    </row>
    <row r="98" spans="2:3" ht="13.5" thickBot="1">
      <c r="B98" s="172" t="s">
        <v>443</v>
      </c>
      <c r="C98" s="183">
        <f>C96+C97</f>
        <v>5861.5</v>
      </c>
    </row>
    <row r="99" spans="2:3" ht="12.75">
      <c r="B99" s="234" t="s">
        <v>444</v>
      </c>
      <c r="C99" s="238">
        <f>C96/C98</f>
        <v>0.3448775910603088</v>
      </c>
    </row>
    <row r="100" spans="2:3" ht="13.5" thickBot="1">
      <c r="B100" s="226" t="s">
        <v>445</v>
      </c>
      <c r="C100" s="239">
        <f>1-C99</f>
        <v>0.6551224089396912</v>
      </c>
    </row>
  </sheetData>
  <mergeCells count="3">
    <mergeCell ref="C70:F70"/>
    <mergeCell ref="C77:F77"/>
    <mergeCell ref="F1:G1"/>
  </mergeCells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7"/>
  <sheetViews>
    <sheetView zoomScale="125" zoomScaleNormal="125" workbookViewId="0" topLeftCell="A39">
      <selection activeCell="G79" sqref="G79"/>
    </sheetView>
  </sheetViews>
  <sheetFormatPr defaultColWidth="11.00390625" defaultRowHeight="12.75"/>
  <cols>
    <col min="1" max="1" width="6.25390625" style="108" customWidth="1"/>
    <col min="2" max="2" width="10.875" style="107" customWidth="1"/>
    <col min="3" max="7" width="11.75390625" style="104" customWidth="1"/>
    <col min="8" max="8" width="13.625" style="104" customWidth="1"/>
    <col min="9" max="16384" width="10.75390625" style="104" customWidth="1"/>
  </cols>
  <sheetData>
    <row r="1" spans="1:8" ht="15">
      <c r="A1" s="125" t="s">
        <v>240</v>
      </c>
      <c r="B1" s="152" t="s">
        <v>368</v>
      </c>
      <c r="C1" s="240" t="s">
        <v>214</v>
      </c>
      <c r="D1" s="240" t="s">
        <v>215</v>
      </c>
      <c r="E1" s="240" t="s">
        <v>369</v>
      </c>
      <c r="F1" s="135"/>
      <c r="H1" s="107"/>
    </row>
    <row r="2" spans="2:8" ht="12.75">
      <c r="B2" s="117">
        <v>6</v>
      </c>
      <c r="C2" s="117">
        <f>3*B2</f>
        <v>18</v>
      </c>
      <c r="D2" s="169">
        <f>4*B2</f>
        <v>24</v>
      </c>
      <c r="E2" s="169">
        <f>B2*(3*4)</f>
        <v>72</v>
      </c>
      <c r="F2" s="135"/>
      <c r="H2" s="107"/>
    </row>
    <row r="3" spans="2:8" ht="12.75">
      <c r="B3" s="117"/>
      <c r="C3" s="117"/>
      <c r="D3" s="169"/>
      <c r="E3" s="169"/>
      <c r="F3" s="135"/>
      <c r="H3" s="107"/>
    </row>
    <row r="4" spans="3:7" ht="15.75" customHeight="1">
      <c r="C4" s="550" t="s">
        <v>424</v>
      </c>
      <c r="D4" s="550"/>
      <c r="E4" s="550"/>
      <c r="F4" s="550"/>
      <c r="G4" s="153"/>
    </row>
    <row r="5" spans="2:7" ht="15">
      <c r="B5" s="180" t="s">
        <v>425</v>
      </c>
      <c r="C5" s="148" t="s">
        <v>266</v>
      </c>
      <c r="D5" s="148" t="s">
        <v>267</v>
      </c>
      <c r="E5" s="148" t="s">
        <v>268</v>
      </c>
      <c r="F5" s="148" t="s">
        <v>269</v>
      </c>
      <c r="G5" s="243" t="s">
        <v>162</v>
      </c>
    </row>
    <row r="6" spans="2:7" ht="12.75">
      <c r="B6" s="154" t="s">
        <v>270</v>
      </c>
      <c r="C6" s="161">
        <v>20</v>
      </c>
      <c r="D6" s="161">
        <v>30</v>
      </c>
      <c r="E6" s="161">
        <v>25</v>
      </c>
      <c r="F6" s="161">
        <v>15</v>
      </c>
      <c r="G6" s="170">
        <f>AVERAGE(C6:F6)</f>
        <v>22.5</v>
      </c>
    </row>
    <row r="7" spans="2:7" ht="12.75">
      <c r="B7" s="154" t="s">
        <v>271</v>
      </c>
      <c r="C7" s="161">
        <v>22</v>
      </c>
      <c r="D7" s="161">
        <v>35</v>
      </c>
      <c r="E7" s="161">
        <v>25</v>
      </c>
      <c r="F7" s="161">
        <v>25</v>
      </c>
      <c r="G7" s="170">
        <f>AVERAGE(C7:F7)</f>
        <v>26.75</v>
      </c>
    </row>
    <row r="8" spans="2:7" ht="12.75">
      <c r="B8" s="155" t="s">
        <v>272</v>
      </c>
      <c r="C8" s="162">
        <v>29</v>
      </c>
      <c r="D8" s="162">
        <v>31</v>
      </c>
      <c r="E8" s="162">
        <v>30</v>
      </c>
      <c r="F8" s="162">
        <v>30</v>
      </c>
      <c r="G8" s="171">
        <f>AVERAGE(C8:F8)</f>
        <v>30</v>
      </c>
    </row>
    <row r="9" spans="2:8" ht="15">
      <c r="B9" s="154" t="s">
        <v>161</v>
      </c>
      <c r="C9" s="156">
        <f>AVERAGE(C6:C8)</f>
        <v>23.666666666666668</v>
      </c>
      <c r="D9" s="156">
        <f>AVERAGE(D6:D8)</f>
        <v>32</v>
      </c>
      <c r="E9" s="156">
        <f>AVERAGE(E6:E8)</f>
        <v>26.666666666666668</v>
      </c>
      <c r="F9" s="156">
        <f>AVERAGE(F6:F8)</f>
        <v>23.333333333333332</v>
      </c>
      <c r="G9" s="170">
        <f>AVERAGE(G6:G8)</f>
        <v>26.416666666666668</v>
      </c>
      <c r="H9" s="104" t="s">
        <v>427</v>
      </c>
    </row>
    <row r="11" spans="3:7" ht="12.75">
      <c r="C11" s="550" t="s">
        <v>424</v>
      </c>
      <c r="D11" s="550"/>
      <c r="E11" s="550"/>
      <c r="F11" s="550"/>
      <c r="G11" s="153"/>
    </row>
    <row r="12" spans="2:7" ht="15">
      <c r="B12" s="180" t="s">
        <v>429</v>
      </c>
      <c r="C12" s="148" t="s">
        <v>266</v>
      </c>
      <c r="D12" s="148" t="s">
        <v>267</v>
      </c>
      <c r="E12" s="148" t="s">
        <v>268</v>
      </c>
      <c r="F12" s="148" t="s">
        <v>269</v>
      </c>
      <c r="G12" s="243" t="s">
        <v>163</v>
      </c>
    </row>
    <row r="13" spans="2:7" ht="12.75">
      <c r="B13" s="154" t="s">
        <v>270</v>
      </c>
      <c r="C13" s="161">
        <f aca="true" t="shared" si="0" ref="C13:F15">C6*$B$2</f>
        <v>120</v>
      </c>
      <c r="D13" s="161">
        <f t="shared" si="0"/>
        <v>180</v>
      </c>
      <c r="E13" s="161">
        <f t="shared" si="0"/>
        <v>150</v>
      </c>
      <c r="F13" s="161">
        <f t="shared" si="0"/>
        <v>90</v>
      </c>
      <c r="G13" s="158">
        <f>SUM(C13:F13)</f>
        <v>540</v>
      </c>
    </row>
    <row r="14" spans="2:7" ht="12.75">
      <c r="B14" s="154" t="s">
        <v>271</v>
      </c>
      <c r="C14" s="161">
        <f t="shared" si="0"/>
        <v>132</v>
      </c>
      <c r="D14" s="161">
        <f t="shared" si="0"/>
        <v>210</v>
      </c>
      <c r="E14" s="161">
        <f t="shared" si="0"/>
        <v>150</v>
      </c>
      <c r="F14" s="161">
        <f t="shared" si="0"/>
        <v>150</v>
      </c>
      <c r="G14" s="158">
        <f>SUM(C14:F14)</f>
        <v>642</v>
      </c>
    </row>
    <row r="15" spans="2:7" ht="12.75">
      <c r="B15" s="155" t="s">
        <v>272</v>
      </c>
      <c r="C15" s="162">
        <f t="shared" si="0"/>
        <v>174</v>
      </c>
      <c r="D15" s="162">
        <f t="shared" si="0"/>
        <v>186</v>
      </c>
      <c r="E15" s="162">
        <f t="shared" si="0"/>
        <v>180</v>
      </c>
      <c r="F15" s="162">
        <f t="shared" si="0"/>
        <v>180</v>
      </c>
      <c r="G15" s="160">
        <f>SUM(C15:F15)</f>
        <v>720</v>
      </c>
    </row>
    <row r="16" spans="2:8" ht="15">
      <c r="B16" s="154" t="s">
        <v>160</v>
      </c>
      <c r="C16" s="161">
        <f>SUM(C13:C15)</f>
        <v>426</v>
      </c>
      <c r="D16" s="161">
        <f>SUM(D13:D15)</f>
        <v>576</v>
      </c>
      <c r="E16" s="161">
        <f>SUM(E13:E15)</f>
        <v>480</v>
      </c>
      <c r="F16" s="161">
        <f>SUM(F13:F15)</f>
        <v>420</v>
      </c>
      <c r="G16" s="158">
        <f>SUM(G13:G15)</f>
        <v>1902</v>
      </c>
      <c r="H16" s="104" t="s">
        <v>431</v>
      </c>
    </row>
    <row r="18" spans="2:7" ht="15">
      <c r="B18" s="163" t="s">
        <v>432</v>
      </c>
      <c r="C18" s="165">
        <f>SUMSQ(C13:F15)</f>
        <v>313596</v>
      </c>
      <c r="D18" s="149"/>
      <c r="E18"/>
      <c r="F18" s="149"/>
      <c r="G18"/>
    </row>
    <row r="19" spans="2:7" ht="15">
      <c r="B19" s="163" t="s">
        <v>157</v>
      </c>
      <c r="C19" s="242">
        <f>SUMSQ(C16:F16)</f>
        <v>920052</v>
      </c>
      <c r="D19" s="149"/>
      <c r="E19"/>
      <c r="F19"/>
      <c r="G19" s="149"/>
    </row>
    <row r="20" spans="2:7" ht="15">
      <c r="B20" s="163" t="s">
        <v>158</v>
      </c>
      <c r="C20" s="165">
        <f>SUMSQ(G13:G15)</f>
        <v>1222164</v>
      </c>
      <c r="D20" s="149"/>
      <c r="E20"/>
      <c r="F20"/>
      <c r="G20" s="149"/>
    </row>
    <row r="21" spans="2:7" ht="13.5">
      <c r="B21" s="164" t="s">
        <v>367</v>
      </c>
      <c r="C21" s="165">
        <f>G16^2</f>
        <v>3617604</v>
      </c>
      <c r="D21" s="149"/>
      <c r="E21"/>
      <c r="F21"/>
      <c r="G21" s="149"/>
    </row>
    <row r="22" spans="2:7" ht="15">
      <c r="B22" s="163" t="s">
        <v>433</v>
      </c>
      <c r="C22" s="165">
        <v>56106</v>
      </c>
      <c r="D22" s="149"/>
      <c r="E22"/>
      <c r="F22"/>
      <c r="G22"/>
    </row>
    <row r="23" spans="2:7" ht="15">
      <c r="B23" s="163" t="s">
        <v>159</v>
      </c>
      <c r="C23" s="165">
        <v>12000</v>
      </c>
      <c r="D23" s="149"/>
      <c r="E23"/>
      <c r="F23"/>
      <c r="G23"/>
    </row>
    <row r="24" ht="13.5" thickBot="1"/>
    <row r="25" spans="1:3" ht="12.75">
      <c r="A25" s="108" t="s">
        <v>274</v>
      </c>
      <c r="B25" s="234" t="s">
        <v>164</v>
      </c>
      <c r="C25" s="112">
        <f>C18/B2-C21/E2</f>
        <v>2021.5</v>
      </c>
    </row>
    <row r="26" spans="2:3" ht="12.75">
      <c r="B26" s="264" t="s">
        <v>165</v>
      </c>
      <c r="C26" s="265">
        <f>C19/C2-C21/E2</f>
        <v>869.5</v>
      </c>
    </row>
    <row r="27" spans="2:3" ht="12.75">
      <c r="B27" s="264" t="s">
        <v>332</v>
      </c>
      <c r="C27" s="265">
        <f>C20/D2-C21/E2</f>
        <v>679</v>
      </c>
    </row>
    <row r="28" spans="2:3" ht="12.75">
      <c r="B28" s="264" t="s">
        <v>333</v>
      </c>
      <c r="C28" s="265">
        <f>C25-(C26+C27)</f>
        <v>473</v>
      </c>
    </row>
    <row r="29" spans="2:3" ht="13.5" thickBot="1">
      <c r="B29" s="226" t="s">
        <v>337</v>
      </c>
      <c r="C29" s="266">
        <f>C22-C18/B2</f>
        <v>3840</v>
      </c>
    </row>
    <row r="30" spans="2:3" ht="13.5" thickBot="1">
      <c r="B30" s="172"/>
      <c r="C30" s="244"/>
    </row>
    <row r="31" spans="1:8" ht="12.75">
      <c r="A31" s="108" t="s">
        <v>63</v>
      </c>
      <c r="B31" s="267" t="s">
        <v>334</v>
      </c>
      <c r="C31" s="268" t="s">
        <v>335</v>
      </c>
      <c r="D31" s="269" t="s">
        <v>54</v>
      </c>
      <c r="E31" s="269" t="s">
        <v>336</v>
      </c>
      <c r="F31" s="287" t="s">
        <v>291</v>
      </c>
      <c r="G31" s="287" t="s">
        <v>448</v>
      </c>
      <c r="H31" s="270" t="s">
        <v>285</v>
      </c>
    </row>
    <row r="32" spans="2:8" ht="12.75">
      <c r="B32" s="271" t="s">
        <v>338</v>
      </c>
      <c r="C32" s="255">
        <v>11</v>
      </c>
      <c r="D32" s="260"/>
      <c r="E32" s="260"/>
      <c r="H32" s="208"/>
    </row>
    <row r="33" spans="2:8" ht="12.75">
      <c r="B33" s="264" t="s">
        <v>339</v>
      </c>
      <c r="C33" s="256">
        <v>3</v>
      </c>
      <c r="D33" s="258">
        <f>C26</f>
        <v>869.5</v>
      </c>
      <c r="E33" s="104">
        <f>D33/C33</f>
        <v>289.8333333333333</v>
      </c>
      <c r="F33" s="246">
        <f>E33/$E$36</f>
        <v>4.528645833333333</v>
      </c>
      <c r="G33" s="246">
        <f>FINV(0.05,C33,$C$36)</f>
        <v>2.75807831561693</v>
      </c>
      <c r="H33" s="288" t="str">
        <f>IF(F33&gt;G33,"Reject H0","Do not reject H0")</f>
        <v>Reject H0</v>
      </c>
    </row>
    <row r="34" spans="2:8" ht="12.75">
      <c r="B34" s="264" t="s">
        <v>71</v>
      </c>
      <c r="C34" s="256">
        <v>2</v>
      </c>
      <c r="D34" s="258">
        <f>C27</f>
        <v>679</v>
      </c>
      <c r="E34" s="104">
        <f>D34/C34</f>
        <v>339.5</v>
      </c>
      <c r="F34" s="246">
        <f>E34/$E$36</f>
        <v>5.3046875</v>
      </c>
      <c r="G34" s="246">
        <f>FINV(0.05,C34,$C$36)</f>
        <v>3.1504113106311245</v>
      </c>
      <c r="H34" s="288" t="str">
        <f>IF(F34&gt;G34,"Reject H0","Do not reject H0")</f>
        <v>Reject H0</v>
      </c>
    </row>
    <row r="35" spans="2:8" ht="12.75">
      <c r="B35" s="264" t="s">
        <v>284</v>
      </c>
      <c r="C35" s="256">
        <f>C33*C34</f>
        <v>6</v>
      </c>
      <c r="D35" s="258">
        <f>C28</f>
        <v>473</v>
      </c>
      <c r="E35" s="104">
        <f>D35/C35</f>
        <v>78.83333333333333</v>
      </c>
      <c r="F35" s="246">
        <f>E35/$E$36</f>
        <v>1.2317708333333333</v>
      </c>
      <c r="G35" s="246">
        <f>FINV(0.05,C35,$C$36)</f>
        <v>2.254053009925463</v>
      </c>
      <c r="H35" s="288" t="str">
        <f>IF(F35&gt;G35,"Reject H0","Do not reject H0")</f>
        <v>Do not reject H0</v>
      </c>
    </row>
    <row r="36" spans="2:8" ht="13.5" thickBot="1">
      <c r="B36" s="272" t="s">
        <v>449</v>
      </c>
      <c r="C36" s="273">
        <f>(B2-1)*12</f>
        <v>60</v>
      </c>
      <c r="D36" s="273">
        <f>C29</f>
        <v>3840</v>
      </c>
      <c r="E36" s="274">
        <f>D36/C36</f>
        <v>64</v>
      </c>
      <c r="F36" s="274"/>
      <c r="G36" s="274"/>
      <c r="H36" s="210"/>
    </row>
    <row r="37" ht="13.5" thickBot="1"/>
    <row r="38" spans="1:7" ht="15">
      <c r="A38" s="108" t="s">
        <v>233</v>
      </c>
      <c r="B38" s="152" t="s">
        <v>60</v>
      </c>
      <c r="C38" s="152" t="s">
        <v>288</v>
      </c>
      <c r="D38" s="152" t="s">
        <v>286</v>
      </c>
      <c r="E38" s="275" t="s">
        <v>287</v>
      </c>
      <c r="F38" s="240" t="s">
        <v>289</v>
      </c>
      <c r="G38" s="240" t="s">
        <v>290</v>
      </c>
    </row>
    <row r="39" spans="2:7" ht="13.5" thickBot="1">
      <c r="B39" s="245">
        <f>SQRT(E36/B2+E36/B2)</f>
        <v>4.618802153517006</v>
      </c>
      <c r="C39" s="245">
        <f>TINV(0.05,C36)</f>
        <v>2.000297804329535</v>
      </c>
      <c r="D39" s="245">
        <f>D7-C6</f>
        <v>15</v>
      </c>
      <c r="E39" s="276">
        <f>B39*C39</f>
        <v>9.238979806312596</v>
      </c>
      <c r="F39" s="245">
        <f>D39-E39</f>
        <v>5.761020193687404</v>
      </c>
      <c r="G39" s="245">
        <f>D39+E39</f>
        <v>24.238979806312596</v>
      </c>
    </row>
    <row r="41" spans="1:2" ht="13.5" thickBot="1">
      <c r="A41" s="108" t="s">
        <v>420</v>
      </c>
      <c r="B41" s="107" t="s">
        <v>245</v>
      </c>
    </row>
    <row r="42" spans="2:8" ht="12.75">
      <c r="B42" s="277" t="s">
        <v>446</v>
      </c>
      <c r="C42" s="269" t="s">
        <v>53</v>
      </c>
      <c r="D42" s="269" t="s">
        <v>54</v>
      </c>
      <c r="E42" s="269" t="s">
        <v>336</v>
      </c>
      <c r="F42" s="287" t="s">
        <v>291</v>
      </c>
      <c r="G42" s="287" t="s">
        <v>246</v>
      </c>
      <c r="H42" s="270" t="s">
        <v>285</v>
      </c>
    </row>
    <row r="43" spans="2:8" ht="12.75">
      <c r="B43" s="271" t="s">
        <v>338</v>
      </c>
      <c r="C43" s="255">
        <v>2</v>
      </c>
      <c r="D43" s="104">
        <f>SUMSQ(F13:F15)/B2-F16^2/C2</f>
        <v>700</v>
      </c>
      <c r="E43" s="104">
        <f>D43/C43</f>
        <v>350</v>
      </c>
      <c r="F43" s="172">
        <f>E43/$E$44</f>
        <v>5.46875</v>
      </c>
      <c r="G43" s="172">
        <f>FINV(0.05,C43,C36)</f>
        <v>3.1504113106311245</v>
      </c>
      <c r="H43" s="288" t="str">
        <f>IF(F43&gt;G43,"Reject H0","Do not reject H0")</f>
        <v>Reject H0</v>
      </c>
    </row>
    <row r="44" spans="2:8" ht="13.5" thickBot="1">
      <c r="B44" s="272" t="s">
        <v>449</v>
      </c>
      <c r="C44" s="278" t="s">
        <v>250</v>
      </c>
      <c r="D44" s="278"/>
      <c r="E44" s="278">
        <f>E36</f>
        <v>64</v>
      </c>
      <c r="F44" s="278"/>
      <c r="G44" s="278"/>
      <c r="H44" s="210"/>
    </row>
    <row r="45" ht="13.5" thickBot="1"/>
    <row r="46" spans="1:8" ht="12.75">
      <c r="A46" s="108" t="s">
        <v>251</v>
      </c>
      <c r="B46" s="214" t="s">
        <v>245</v>
      </c>
      <c r="C46" s="216"/>
      <c r="D46" s="216"/>
      <c r="E46" s="216"/>
      <c r="F46" s="216"/>
      <c r="G46" s="216"/>
      <c r="H46" s="206"/>
    </row>
    <row r="47" spans="2:8" ht="12.75">
      <c r="B47" s="217" t="s">
        <v>446</v>
      </c>
      <c r="C47" s="259" t="s">
        <v>53</v>
      </c>
      <c r="D47" s="259" t="s">
        <v>54</v>
      </c>
      <c r="E47" s="259" t="s">
        <v>336</v>
      </c>
      <c r="F47" s="175" t="s">
        <v>291</v>
      </c>
      <c r="G47" s="175" t="s">
        <v>246</v>
      </c>
      <c r="H47" s="218" t="s">
        <v>285</v>
      </c>
    </row>
    <row r="48" spans="2:8" ht="12.75">
      <c r="B48" s="271" t="s">
        <v>338</v>
      </c>
      <c r="C48" s="255">
        <v>2</v>
      </c>
      <c r="D48" s="104">
        <f>SUMSQ(F13:F15)/B2-F16^2/C2</f>
        <v>700</v>
      </c>
      <c r="E48" s="104">
        <f>D48/C48</f>
        <v>350</v>
      </c>
      <c r="F48" s="172">
        <f>E48/$E$49</f>
        <v>3.5</v>
      </c>
      <c r="G48" s="172">
        <f>FINV(0.05,C48,$C$49)</f>
        <v>3.6823203437250074</v>
      </c>
      <c r="H48" s="288" t="str">
        <f>IF(F48&gt;G48,"Reject H0","Do not reject H0")</f>
        <v>Do not reject H0</v>
      </c>
    </row>
    <row r="49" spans="2:8" ht="13.5" thickBot="1">
      <c r="B49" s="272" t="s">
        <v>449</v>
      </c>
      <c r="C49" s="273">
        <f>(B2-1)*3</f>
        <v>15</v>
      </c>
      <c r="D49" s="278">
        <f>C23-SUMSQ(F13:F15)/B2</f>
        <v>1500</v>
      </c>
      <c r="E49" s="278">
        <f>D49/C49</f>
        <v>100</v>
      </c>
      <c r="F49" s="278"/>
      <c r="G49" s="278"/>
      <c r="H49" s="210"/>
    </row>
    <row r="50" ht="13.5" thickBot="1"/>
    <row r="51" spans="1:7" ht="15">
      <c r="A51" s="108" t="s">
        <v>227</v>
      </c>
      <c r="B51" s="152" t="s">
        <v>249</v>
      </c>
      <c r="C51" s="152" t="s">
        <v>288</v>
      </c>
      <c r="D51" s="152" t="s">
        <v>247</v>
      </c>
      <c r="E51" s="275" t="s">
        <v>287</v>
      </c>
      <c r="F51" s="240" t="s">
        <v>289</v>
      </c>
      <c r="G51" s="240" t="s">
        <v>290</v>
      </c>
    </row>
    <row r="52" spans="2:7" ht="13.5" thickBot="1">
      <c r="B52" s="245">
        <f>SQRT(E49/B2)</f>
        <v>4.08248290463863</v>
      </c>
      <c r="C52" s="245">
        <f>TINV(0.05,C49)</f>
        <v>2.1314495356759524</v>
      </c>
      <c r="D52" s="245">
        <f>F7</f>
        <v>25</v>
      </c>
      <c r="E52" s="276">
        <f>B52*C52</f>
        <v>8.701606291497022</v>
      </c>
      <c r="F52" s="245">
        <f>D52-E52</f>
        <v>16.298393708502978</v>
      </c>
      <c r="G52" s="104">
        <f>D52+E52</f>
        <v>33.70160629149702</v>
      </c>
    </row>
    <row r="53" ht="13.5" thickBot="1"/>
    <row r="54" spans="1:8" ht="12.75">
      <c r="A54" s="108" t="s">
        <v>61</v>
      </c>
      <c r="B54" s="267" t="str">
        <f aca="true" t="shared" si="1" ref="B54:H54">B31</f>
        <v>Source</v>
      </c>
      <c r="C54" s="268" t="str">
        <f t="shared" si="1"/>
        <v>df</v>
      </c>
      <c r="D54" s="269" t="str">
        <f t="shared" si="1"/>
        <v>SS</v>
      </c>
      <c r="E54" s="269" t="str">
        <f t="shared" si="1"/>
        <v>MS</v>
      </c>
      <c r="F54" s="269" t="str">
        <f t="shared" si="1"/>
        <v>Obt F</v>
      </c>
      <c r="G54" s="269" t="str">
        <f t="shared" si="1"/>
        <v>Crit F</v>
      </c>
      <c r="H54" s="270" t="str">
        <f t="shared" si="1"/>
        <v>Decision</v>
      </c>
    </row>
    <row r="55" spans="2:8" ht="12.75">
      <c r="B55" s="271" t="s">
        <v>338</v>
      </c>
      <c r="C55" s="255">
        <v>11</v>
      </c>
      <c r="D55" s="260"/>
      <c r="E55" s="260"/>
      <c r="H55" s="208"/>
    </row>
    <row r="56" spans="2:8" ht="12.75">
      <c r="B56" s="264" t="s">
        <v>339</v>
      </c>
      <c r="C56" s="256">
        <v>3</v>
      </c>
      <c r="D56" s="258">
        <f>D33</f>
        <v>869.5</v>
      </c>
      <c r="E56" s="104">
        <f>D56/C56</f>
        <v>289.8333333333333</v>
      </c>
      <c r="F56" s="246">
        <f>E56/$E$59</f>
        <v>14.491666666666665</v>
      </c>
      <c r="G56" s="246">
        <f>FINV(0.05,C56,$C$59)</f>
        <v>2.604918203956923</v>
      </c>
      <c r="H56" s="288" t="str">
        <f>IF(F56&gt;G56,"Reject H0","Do not reject H0")</f>
        <v>Reject H0</v>
      </c>
    </row>
    <row r="57" spans="2:8" ht="12.75">
      <c r="B57" s="264" t="s">
        <v>71</v>
      </c>
      <c r="C57" s="256">
        <v>2</v>
      </c>
      <c r="D57" s="258">
        <f>D34</f>
        <v>679</v>
      </c>
      <c r="E57" s="104">
        <f>D57/C57</f>
        <v>339.5</v>
      </c>
      <c r="F57" s="246">
        <f>E57/$E$59</f>
        <v>16.975</v>
      </c>
      <c r="G57" s="246">
        <f>FINV(0.05,C57,$C$36)</f>
        <v>3.1504113106311245</v>
      </c>
      <c r="H57" s="288" t="str">
        <f>IF(F57&gt;G57,"Reject H0","Do not reject H0")</f>
        <v>Reject H0</v>
      </c>
    </row>
    <row r="58" spans="2:8" ht="12.75">
      <c r="B58" s="264" t="s">
        <v>284</v>
      </c>
      <c r="C58" s="256">
        <f>C56*C57</f>
        <v>6</v>
      </c>
      <c r="D58" s="258">
        <f>D35</f>
        <v>473</v>
      </c>
      <c r="E58" s="104">
        <f>D58/C58</f>
        <v>78.83333333333333</v>
      </c>
      <c r="F58" s="246">
        <f>E58/$E$59</f>
        <v>3.9416666666666664</v>
      </c>
      <c r="G58" s="246">
        <f>FINV(0.05,C58,$C$36)</f>
        <v>2.254053009925463</v>
      </c>
      <c r="H58" s="288" t="str">
        <f>IF(F58&gt;G58,"Reject H0","Do not reject H0")</f>
        <v>Reject H0</v>
      </c>
    </row>
    <row r="59" spans="2:8" ht="12.75">
      <c r="B59" s="271" t="s">
        <v>449</v>
      </c>
      <c r="C59" s="255">
        <v>1000000</v>
      </c>
      <c r="E59" s="247">
        <v>20</v>
      </c>
      <c r="F59" s="260"/>
      <c r="G59" s="260"/>
      <c r="H59" s="208"/>
    </row>
    <row r="60" spans="2:8" ht="15.75" thickBot="1">
      <c r="B60" s="221"/>
      <c r="C60" s="273" t="s">
        <v>84</v>
      </c>
      <c r="D60" s="278"/>
      <c r="E60" s="274" t="s">
        <v>59</v>
      </c>
      <c r="F60" s="278"/>
      <c r="G60" s="278"/>
      <c r="H60" s="210"/>
    </row>
    <row r="61" ht="13.5" thickBot="1"/>
    <row r="62" spans="1:7" s="106" customFormat="1" ht="27">
      <c r="A62" s="129"/>
      <c r="B62" s="248" t="s">
        <v>248</v>
      </c>
      <c r="C62" s="249" t="s">
        <v>327</v>
      </c>
      <c r="D62" s="249" t="s">
        <v>286</v>
      </c>
      <c r="E62" s="279" t="s">
        <v>287</v>
      </c>
      <c r="F62" s="250" t="s">
        <v>289</v>
      </c>
      <c r="G62" s="250" t="s">
        <v>290</v>
      </c>
    </row>
    <row r="63" spans="2:7" ht="13.5" thickBot="1">
      <c r="B63" s="245">
        <f>SQRT(E59/B2+E59/B2)</f>
        <v>2.581988897471611</v>
      </c>
      <c r="C63" s="245">
        <f>TINV(0.05,C59)</f>
        <v>1.9599663007079005</v>
      </c>
      <c r="D63" s="245">
        <f>D7-C6</f>
        <v>15</v>
      </c>
      <c r="E63" s="276">
        <f>B63*C63</f>
        <v>5.060611227846304</v>
      </c>
      <c r="F63" s="245">
        <f>D63-E63</f>
        <v>9.939388772153695</v>
      </c>
      <c r="G63" s="289">
        <f>D63+E63</f>
        <v>20.060611227846305</v>
      </c>
    </row>
    <row r="65" spans="1:8" ht="12.75">
      <c r="A65" s="251" t="s">
        <v>241</v>
      </c>
      <c r="B65" s="172" t="s">
        <v>300</v>
      </c>
      <c r="C65" s="254">
        <v>20</v>
      </c>
      <c r="G65" s="257">
        <f>C65*4</f>
        <v>80</v>
      </c>
      <c r="H65" s="137" t="s">
        <v>124</v>
      </c>
    </row>
    <row r="66" spans="3:6" ht="12.75">
      <c r="C66" s="552" t="s">
        <v>299</v>
      </c>
      <c r="D66" s="552"/>
      <c r="E66" s="552"/>
      <c r="F66" s="552"/>
    </row>
    <row r="67" spans="3:6" ht="12.75">
      <c r="C67" s="253" t="s">
        <v>450</v>
      </c>
      <c r="D67" s="253">
        <v>500</v>
      </c>
      <c r="E67" s="253">
        <v>2000</v>
      </c>
      <c r="F67" s="253">
        <v>5000</v>
      </c>
    </row>
    <row r="68" spans="2:8" ht="15">
      <c r="B68" s="172" t="s">
        <v>175</v>
      </c>
      <c r="C68" s="255">
        <f>C69*$C$65</f>
        <v>838</v>
      </c>
      <c r="D68" s="255">
        <f>D69*$C$65</f>
        <v>880</v>
      </c>
      <c r="E68" s="255">
        <f>E69*$C$65</f>
        <v>930</v>
      </c>
      <c r="F68" s="255">
        <f>F69*$C$65</f>
        <v>1042</v>
      </c>
      <c r="G68" s="256">
        <f>SUM(C68:F68)</f>
        <v>3690</v>
      </c>
      <c r="H68" s="104" t="s">
        <v>431</v>
      </c>
    </row>
    <row r="69" spans="2:8" ht="15">
      <c r="B69" s="172" t="s">
        <v>176</v>
      </c>
      <c r="C69" s="280">
        <v>41.9</v>
      </c>
      <c r="D69" s="280">
        <v>44</v>
      </c>
      <c r="E69" s="280">
        <v>46.5</v>
      </c>
      <c r="F69" s="280">
        <v>52.1</v>
      </c>
      <c r="G69" s="104">
        <f>G68^2/G65</f>
        <v>170201.25</v>
      </c>
      <c r="H69" s="104" t="s">
        <v>181</v>
      </c>
    </row>
    <row r="70" spans="2:6" ht="12.75">
      <c r="B70" s="172"/>
      <c r="C70" s="135"/>
      <c r="D70" s="135"/>
      <c r="E70" s="135"/>
      <c r="F70" s="135"/>
    </row>
    <row r="71" spans="2:6" ht="15">
      <c r="B71" s="163" t="s">
        <v>432</v>
      </c>
      <c r="C71" s="263">
        <v>196645</v>
      </c>
      <c r="D71" s="135"/>
      <c r="E71" s="135"/>
      <c r="F71" s="135"/>
    </row>
    <row r="72" spans="2:6" ht="15">
      <c r="B72" s="163" t="s">
        <v>157</v>
      </c>
      <c r="C72" s="263">
        <f>SUMSQ(C68:F68)</f>
        <v>3427308</v>
      </c>
      <c r="D72" s="252"/>
      <c r="E72" s="135"/>
      <c r="F72" s="135"/>
    </row>
    <row r="73" spans="2:6" ht="15">
      <c r="B73" s="163" t="s">
        <v>158</v>
      </c>
      <c r="C73" s="263">
        <v>760805</v>
      </c>
      <c r="D73" s="252"/>
      <c r="E73" s="135"/>
      <c r="F73" s="135"/>
    </row>
    <row r="74" spans="2:6" ht="13.5" thickBot="1">
      <c r="B74" s="172"/>
      <c r="C74" s="135"/>
      <c r="D74" s="135"/>
      <c r="E74" s="135"/>
      <c r="F74" s="135"/>
    </row>
    <row r="75" spans="1:8" ht="12.75">
      <c r="A75" s="108" t="s">
        <v>274</v>
      </c>
      <c r="B75" s="267" t="s">
        <v>177</v>
      </c>
      <c r="C75" s="268" t="s">
        <v>53</v>
      </c>
      <c r="D75" s="269" t="s">
        <v>178</v>
      </c>
      <c r="E75" s="269" t="s">
        <v>179</v>
      </c>
      <c r="F75" s="269" t="s">
        <v>180</v>
      </c>
      <c r="G75" s="269" t="s">
        <v>448</v>
      </c>
      <c r="H75" s="270" t="s">
        <v>129</v>
      </c>
    </row>
    <row r="76" spans="2:8" ht="12.75">
      <c r="B76" s="271" t="s">
        <v>338</v>
      </c>
      <c r="C76" s="255">
        <f>C65*4-1</f>
        <v>79</v>
      </c>
      <c r="D76" s="260">
        <f>C71-G69</f>
        <v>26443.75</v>
      </c>
      <c r="E76" s="260"/>
      <c r="H76" s="208"/>
    </row>
    <row r="77" spans="2:8" ht="12.75">
      <c r="B77" s="264" t="s">
        <v>301</v>
      </c>
      <c r="C77" s="256">
        <v>3</v>
      </c>
      <c r="D77" s="108">
        <f>C72/C65-G69</f>
        <v>1164.1499999999942</v>
      </c>
      <c r="E77" s="104">
        <f>D77/C77</f>
        <v>388.0499999999981</v>
      </c>
      <c r="F77" s="172">
        <f>E77/$E$79</f>
        <v>4.189493522236508</v>
      </c>
      <c r="G77" s="172">
        <f>FINV(0.05,C77,$C$79)</f>
        <v>2.766437943660314</v>
      </c>
      <c r="H77" s="288" t="str">
        <f>IF(F77&gt;G77,"Reject H0","Do not reject H0")</f>
        <v>Reject H0</v>
      </c>
    </row>
    <row r="78" spans="2:8" ht="12.75">
      <c r="B78" s="264" t="s">
        <v>173</v>
      </c>
      <c r="C78" s="256">
        <f>C65-1</f>
        <v>19</v>
      </c>
      <c r="D78" s="108">
        <f>C73/4-G69</f>
        <v>20000</v>
      </c>
      <c r="E78" s="104">
        <f>D78/C78</f>
        <v>1052.6315789473683</v>
      </c>
      <c r="F78" s="246"/>
      <c r="G78" s="246"/>
      <c r="H78" s="220"/>
    </row>
    <row r="79" spans="2:8" ht="13.5" thickBot="1">
      <c r="B79" s="226" t="s">
        <v>174</v>
      </c>
      <c r="C79" s="281">
        <f>C77*C78</f>
        <v>57</v>
      </c>
      <c r="D79" s="282">
        <f>D76-(D77+D78)</f>
        <v>5279.600000000006</v>
      </c>
      <c r="E79" s="278">
        <f>D79/C79</f>
        <v>92.62456140350888</v>
      </c>
      <c r="F79" s="283"/>
      <c r="G79" s="283"/>
      <c r="H79" s="284"/>
    </row>
    <row r="80" spans="3:6" ht="12.75">
      <c r="C80" s="135"/>
      <c r="D80" s="135"/>
      <c r="E80" s="135"/>
      <c r="F80" s="135"/>
    </row>
    <row r="81" spans="1:6" ht="12.75">
      <c r="A81" s="108" t="s">
        <v>63</v>
      </c>
      <c r="B81" s="108">
        <f>(D78+D79)/(C78+C79)</f>
        <v>332.6263157894738</v>
      </c>
      <c r="C81" s="183" t="s">
        <v>256</v>
      </c>
      <c r="F81" s="135"/>
    </row>
    <row r="82" spans="2:6" ht="12.75">
      <c r="B82" s="262">
        <f>C78+C79</f>
        <v>76</v>
      </c>
      <c r="C82" s="183" t="s">
        <v>72</v>
      </c>
      <c r="F82" s="261"/>
    </row>
    <row r="83" spans="2:6" ht="12.75">
      <c r="B83" s="108">
        <f>TINV(0.05,B82)</f>
        <v>1.9916725785505602</v>
      </c>
      <c r="C83" s="183" t="s">
        <v>73</v>
      </c>
      <c r="F83" s="135"/>
    </row>
    <row r="84" spans="2:3" ht="13.5" thickBot="1">
      <c r="B84" s="107">
        <f>SQRT(B81/C65)</f>
        <v>4.078151025829437</v>
      </c>
      <c r="C84" s="104" t="s">
        <v>243</v>
      </c>
    </row>
    <row r="85" spans="2:4" ht="13.5" thickBot="1">
      <c r="B85" s="285">
        <f>B83*B84</f>
        <v>8.122341569332328</v>
      </c>
      <c r="C85" s="286" t="s">
        <v>244</v>
      </c>
      <c r="D85" s="185"/>
    </row>
    <row r="87" spans="1:3" ht="12.75">
      <c r="A87" s="108" t="s">
        <v>233</v>
      </c>
      <c r="B87" s="290">
        <f>E79</f>
        <v>92.62456140350888</v>
      </c>
      <c r="C87" s="183" t="s">
        <v>417</v>
      </c>
    </row>
    <row r="88" spans="2:3" ht="12.75">
      <c r="B88" s="291">
        <f>C79</f>
        <v>57</v>
      </c>
      <c r="C88" s="183" t="s">
        <v>72</v>
      </c>
    </row>
    <row r="89" spans="2:3" ht="12.75">
      <c r="B89" s="108">
        <f>TINV(0.05,B88)</f>
        <v>2.0024654439045246</v>
      </c>
      <c r="C89" s="183" t="s">
        <v>73</v>
      </c>
    </row>
    <row r="90" spans="2:3" ht="13.5" thickBot="1">
      <c r="B90" s="246">
        <f>SQRT(B87/C65)</f>
        <v>2.1520288265205565</v>
      </c>
      <c r="C90" s="104" t="s">
        <v>243</v>
      </c>
    </row>
    <row r="91" spans="2:4" ht="13.5" thickBot="1">
      <c r="B91" s="285">
        <f>B89*B90</f>
        <v>4.309363359393819</v>
      </c>
      <c r="C91" s="286" t="s">
        <v>244</v>
      </c>
      <c r="D91" s="185"/>
    </row>
    <row r="92" ht="13.5" thickBot="1"/>
    <row r="93" spans="1:8" ht="12.75">
      <c r="A93" s="108" t="s">
        <v>420</v>
      </c>
      <c r="B93" s="267" t="s">
        <v>192</v>
      </c>
      <c r="C93" s="268" t="s">
        <v>193</v>
      </c>
      <c r="D93" s="269" t="s">
        <v>194</v>
      </c>
      <c r="E93" s="269" t="s">
        <v>195</v>
      </c>
      <c r="F93" s="269" t="s">
        <v>196</v>
      </c>
      <c r="G93" s="269" t="s">
        <v>197</v>
      </c>
      <c r="H93" s="270" t="s">
        <v>198</v>
      </c>
    </row>
    <row r="94" spans="2:8" ht="12.75">
      <c r="B94" s="271" t="s">
        <v>199</v>
      </c>
      <c r="C94" s="255">
        <v>79</v>
      </c>
      <c r="D94" s="260">
        <f>D95+D97</f>
        <v>6443.75</v>
      </c>
      <c r="E94" s="260"/>
      <c r="H94" s="208"/>
    </row>
    <row r="95" spans="2:8" ht="12.75">
      <c r="B95" s="264" t="s">
        <v>200</v>
      </c>
      <c r="C95" s="256">
        <v>3</v>
      </c>
      <c r="D95" s="108">
        <v>1164.1499999999942</v>
      </c>
      <c r="E95" s="104">
        <v>388.0499999999981</v>
      </c>
      <c r="F95" s="246">
        <v>4.189493522236508</v>
      </c>
      <c r="G95" s="246">
        <v>2.604918203956923</v>
      </c>
      <c r="H95" s="288" t="s">
        <v>201</v>
      </c>
    </row>
    <row r="96" spans="2:8" ht="12.75">
      <c r="B96" s="264" t="s">
        <v>202</v>
      </c>
      <c r="C96" s="256">
        <v>19</v>
      </c>
      <c r="D96" s="108">
        <v>0</v>
      </c>
      <c r="E96" s="104">
        <v>0</v>
      </c>
      <c r="F96" s="246"/>
      <c r="G96" s="246"/>
      <c r="H96" s="220"/>
    </row>
    <row r="97" spans="2:8" ht="13.5" thickBot="1">
      <c r="B97" s="226" t="s">
        <v>203</v>
      </c>
      <c r="C97" s="281">
        <v>57</v>
      </c>
      <c r="D97" s="282">
        <v>5279.600000000006</v>
      </c>
      <c r="E97" s="278">
        <v>92.62456140350888</v>
      </c>
      <c r="F97" s="283"/>
      <c r="G97" s="283"/>
      <c r="H97" s="284"/>
    </row>
  </sheetData>
  <mergeCells count="3">
    <mergeCell ref="C4:F4"/>
    <mergeCell ref="C11:F11"/>
    <mergeCell ref="C66:F66"/>
  </mergeCells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1"/>
  <sheetViews>
    <sheetView zoomScale="125" zoomScaleNormal="125" workbookViewId="0" topLeftCell="A4">
      <selection activeCell="B18" sqref="B18:B19"/>
    </sheetView>
  </sheetViews>
  <sheetFormatPr defaultColWidth="11.00390625" defaultRowHeight="12.75"/>
  <cols>
    <col min="1" max="1" width="6.25390625" style="108" customWidth="1"/>
    <col min="2" max="2" width="10.875" style="246" customWidth="1"/>
    <col min="3" max="8" width="10.625" style="104" customWidth="1"/>
    <col min="9" max="9" width="10.875" style="104" bestFit="1" customWidth="1"/>
    <col min="10" max="10" width="12.75390625" style="104" bestFit="1" customWidth="1"/>
    <col min="11" max="16384" width="10.75390625" style="104" customWidth="1"/>
  </cols>
  <sheetData>
    <row r="1" spans="1:3" ht="12.75">
      <c r="A1" s="251" t="s">
        <v>240</v>
      </c>
      <c r="B1" s="172" t="s">
        <v>150</v>
      </c>
      <c r="C1" s="254">
        <v>4</v>
      </c>
    </row>
    <row r="2" spans="2:3" ht="12.75">
      <c r="B2" s="172" t="s">
        <v>300</v>
      </c>
      <c r="C2" s="254">
        <v>20</v>
      </c>
    </row>
    <row r="3" spans="1:8" ht="12.75">
      <c r="A3" s="251"/>
      <c r="B3" s="172" t="s">
        <v>88</v>
      </c>
      <c r="C3" s="254">
        <v>5</v>
      </c>
      <c r="G3" s="258"/>
      <c r="H3" s="137"/>
    </row>
    <row r="4" spans="1:8" ht="12.75">
      <c r="A4" s="251"/>
      <c r="B4" s="108" t="s">
        <v>253</v>
      </c>
      <c r="C4" s="254">
        <f>C2*4*C3</f>
        <v>400</v>
      </c>
      <c r="G4" s="258"/>
      <c r="H4" s="137"/>
    </row>
    <row r="5" spans="1:8" ht="13.5" thickBot="1">
      <c r="A5" s="251"/>
      <c r="B5" s="108"/>
      <c r="C5" s="254"/>
      <c r="G5" s="258"/>
      <c r="H5" s="137"/>
    </row>
    <row r="6" spans="1:6" ht="12.75">
      <c r="A6" s="108" t="s">
        <v>274</v>
      </c>
      <c r="B6" s="324" t="s">
        <v>364</v>
      </c>
      <c r="C6" s="553" t="s">
        <v>299</v>
      </c>
      <c r="D6" s="553"/>
      <c r="E6" s="553"/>
      <c r="F6" s="554"/>
    </row>
    <row r="7" spans="2:6" ht="12.75">
      <c r="B7" s="219"/>
      <c r="C7" s="253" t="s">
        <v>450</v>
      </c>
      <c r="D7" s="253">
        <v>500</v>
      </c>
      <c r="E7" s="253">
        <v>2000</v>
      </c>
      <c r="F7" s="325">
        <v>5000</v>
      </c>
    </row>
    <row r="8" spans="2:9" ht="15">
      <c r="B8" s="264" t="s">
        <v>89</v>
      </c>
      <c r="C8" s="255">
        <f>C9*$C$2*$C$3</f>
        <v>4190</v>
      </c>
      <c r="D8" s="255">
        <f>D9*$C$2*$C$3</f>
        <v>4400</v>
      </c>
      <c r="E8" s="255">
        <f>E9*$C$2*$C$3</f>
        <v>4650</v>
      </c>
      <c r="F8" s="326">
        <f>F9*$C$2*$C$3</f>
        <v>5210</v>
      </c>
      <c r="G8" s="256"/>
      <c r="H8" s="104">
        <f>SUM(C8:F8)^2/SUM(C10:F10)</f>
        <v>851006.25</v>
      </c>
      <c r="I8" s="332" t="s">
        <v>366</v>
      </c>
    </row>
    <row r="9" spans="2:6" ht="15.75" thickBot="1">
      <c r="B9" s="226" t="s">
        <v>90</v>
      </c>
      <c r="C9" s="327">
        <v>41.9</v>
      </c>
      <c r="D9" s="327">
        <v>44</v>
      </c>
      <c r="E9" s="327">
        <v>46.5</v>
      </c>
      <c r="F9" s="328">
        <v>52.1</v>
      </c>
    </row>
    <row r="10" spans="2:6" ht="15">
      <c r="B10" s="172" t="s">
        <v>365</v>
      </c>
      <c r="C10" s="293">
        <f>$C$2*$C$3</f>
        <v>100</v>
      </c>
      <c r="D10" s="293">
        <f>$C$2*$C$3</f>
        <v>100</v>
      </c>
      <c r="E10" s="293">
        <f>$C$2*$C$3</f>
        <v>100</v>
      </c>
      <c r="F10" s="293">
        <f>$C$2*$C$3</f>
        <v>100</v>
      </c>
    </row>
    <row r="11" spans="2:6" ht="12.75">
      <c r="B11" s="172"/>
      <c r="C11" s="292"/>
      <c r="D11" s="292"/>
      <c r="E11" s="292"/>
      <c r="F11" s="292"/>
    </row>
    <row r="12" spans="2:6" ht="12.75">
      <c r="B12" s="183" t="s">
        <v>166</v>
      </c>
      <c r="C12" s="292"/>
      <c r="D12" s="292"/>
      <c r="E12" s="292"/>
      <c r="F12" s="292"/>
    </row>
    <row r="13" spans="2:6" ht="13.5">
      <c r="B13" s="294" t="s">
        <v>151</v>
      </c>
      <c r="C13" s="295">
        <v>26443.75</v>
      </c>
      <c r="D13" s="292"/>
      <c r="E13" s="292"/>
      <c r="F13" s="292"/>
    </row>
    <row r="14" spans="2:6" ht="13.5">
      <c r="B14" s="294" t="s">
        <v>148</v>
      </c>
      <c r="C14" s="263">
        <v>1164.1499999999942</v>
      </c>
      <c r="D14" s="292"/>
      <c r="E14" s="292"/>
      <c r="F14" s="292"/>
    </row>
    <row r="15" spans="2:6" ht="12.75">
      <c r="B15" s="172" t="s">
        <v>259</v>
      </c>
      <c r="C15" s="263">
        <v>20000</v>
      </c>
      <c r="D15" s="292"/>
      <c r="E15" s="292"/>
      <c r="F15" s="292"/>
    </row>
    <row r="16" spans="2:6" ht="13.5">
      <c r="B16" s="294" t="s">
        <v>258</v>
      </c>
      <c r="C16" s="263">
        <v>5279.600000000006</v>
      </c>
      <c r="D16" s="292"/>
      <c r="E16" s="292"/>
      <c r="F16" s="292"/>
    </row>
    <row r="17" spans="2:6" ht="13.5">
      <c r="B17" s="294"/>
      <c r="C17" s="263"/>
      <c r="D17" s="292"/>
      <c r="E17" s="292"/>
      <c r="F17" s="292"/>
    </row>
    <row r="18" spans="2:6" ht="15">
      <c r="B18" s="163" t="s">
        <v>168</v>
      </c>
      <c r="C18" s="298">
        <v>984225</v>
      </c>
      <c r="D18" s="137" t="s">
        <v>169</v>
      </c>
      <c r="E18" s="292"/>
      <c r="F18" s="292"/>
    </row>
    <row r="19" spans="2:6" ht="15">
      <c r="B19" s="163" t="s">
        <v>432</v>
      </c>
      <c r="C19" s="263">
        <v>4916125</v>
      </c>
      <c r="D19" s="137" t="s">
        <v>169</v>
      </c>
      <c r="E19" s="292"/>
      <c r="F19" s="292"/>
    </row>
    <row r="20" spans="2:6" ht="13.5" thickBot="1">
      <c r="B20" s="172"/>
      <c r="C20" s="292"/>
      <c r="D20" s="292"/>
      <c r="E20" s="292"/>
      <c r="F20" s="292"/>
    </row>
    <row r="21" spans="1:8" ht="12.75">
      <c r="A21" s="108" t="s">
        <v>167</v>
      </c>
      <c r="B21" s="267" t="s">
        <v>177</v>
      </c>
      <c r="C21" s="268" t="s">
        <v>53</v>
      </c>
      <c r="D21" s="269" t="s">
        <v>178</v>
      </c>
      <c r="E21" s="269" t="s">
        <v>179</v>
      </c>
      <c r="F21" s="269" t="s">
        <v>180</v>
      </c>
      <c r="G21" s="269" t="s">
        <v>448</v>
      </c>
      <c r="H21" s="329" t="s">
        <v>129</v>
      </c>
    </row>
    <row r="22" spans="2:8" ht="12.75">
      <c r="B22" s="271" t="s">
        <v>338</v>
      </c>
      <c r="C22" s="255">
        <f>C2*4-1</f>
        <v>79</v>
      </c>
      <c r="D22" s="301">
        <f>C13*$C$3</f>
        <v>132218.75</v>
      </c>
      <c r="E22" s="301"/>
      <c r="H22" s="208"/>
    </row>
    <row r="23" spans="2:8" ht="12.75">
      <c r="B23" s="264" t="s">
        <v>301</v>
      </c>
      <c r="C23" s="256">
        <v>3</v>
      </c>
      <c r="D23" s="108">
        <f>C14*$C$3</f>
        <v>5820.749999999971</v>
      </c>
      <c r="E23" s="104">
        <f>D23/C23</f>
        <v>1940.2499999999902</v>
      </c>
      <c r="F23" s="297">
        <f>E23/$E$25</f>
        <v>4.189493522236508</v>
      </c>
      <c r="G23" s="172">
        <f>FINV(0.05,C23,$C$25)</f>
        <v>2.766437943660314</v>
      </c>
      <c r="H23" s="288" t="str">
        <f>IF(F23&gt;G23,"Reject H0","Do not reject H0")</f>
        <v>Reject H0</v>
      </c>
    </row>
    <row r="24" spans="2:8" ht="12.75">
      <c r="B24" s="264" t="s">
        <v>173</v>
      </c>
      <c r="C24" s="256">
        <f>C2-1</f>
        <v>19</v>
      </c>
      <c r="D24" s="108">
        <f>C15*$C$3</f>
        <v>100000</v>
      </c>
      <c r="E24" s="104">
        <f>D24/C24</f>
        <v>5263.1578947368425</v>
      </c>
      <c r="F24" s="296"/>
      <c r="G24" s="172"/>
      <c r="H24" s="288"/>
    </row>
    <row r="25" spans="2:8" ht="12.75">
      <c r="B25" s="264" t="s">
        <v>174</v>
      </c>
      <c r="C25" s="256">
        <f>C23*C24</f>
        <v>57</v>
      </c>
      <c r="D25" s="108">
        <f>C16*$C$3</f>
        <v>26398.00000000003</v>
      </c>
      <c r="E25" s="104">
        <f>D25/C25</f>
        <v>463.12280701754435</v>
      </c>
      <c r="F25" s="296">
        <f>E25/$E$26</f>
        <v>148.1992982456142</v>
      </c>
      <c r="G25" s="172">
        <f>FINV(0.05,C26,$C$25)</f>
        <v>1.432661213138231</v>
      </c>
      <c r="H25" s="288" t="str">
        <f>IF(F25&gt;G25,"Reject H0","Do not reject H0")</f>
        <v>Reject H0</v>
      </c>
    </row>
    <row r="26" spans="2:8" ht="12.75">
      <c r="B26" s="271" t="s">
        <v>170</v>
      </c>
      <c r="C26" s="255">
        <f>(C1*C2*(C3-1))</f>
        <v>320</v>
      </c>
      <c r="D26" s="301">
        <v>1000</v>
      </c>
      <c r="E26" s="301">
        <f>D26/C26</f>
        <v>3.125</v>
      </c>
      <c r="F26" s="246"/>
      <c r="G26" s="246"/>
      <c r="H26" s="220"/>
    </row>
    <row r="27" spans="2:8" ht="13.5" thickBot="1">
      <c r="B27" s="221" t="s">
        <v>171</v>
      </c>
      <c r="C27" s="330">
        <f>C22+C26</f>
        <v>399</v>
      </c>
      <c r="D27" s="330">
        <f>D22+D26</f>
        <v>133218.75</v>
      </c>
      <c r="E27" s="274"/>
      <c r="F27" s="274"/>
      <c r="G27" s="278"/>
      <c r="H27" s="210"/>
    </row>
    <row r="29" spans="1:3" ht="15">
      <c r="A29" s="108" t="s">
        <v>233</v>
      </c>
      <c r="B29" s="172" t="s">
        <v>343</v>
      </c>
      <c r="C29" s="137">
        <f>SQRT(E25/C10)</f>
        <v>2.1520288265205565</v>
      </c>
    </row>
    <row r="30" spans="2:3" ht="13.5" thickBot="1">
      <c r="B30" s="172" t="s">
        <v>344</v>
      </c>
      <c r="C30" s="137">
        <f>TINV(0.05,C25)</f>
        <v>2.0024654439045246</v>
      </c>
    </row>
    <row r="31" spans="2:3" ht="13.5" thickBot="1">
      <c r="B31" s="236" t="s">
        <v>345</v>
      </c>
      <c r="C31" s="331">
        <f>C29*C30</f>
        <v>4.309363359393819</v>
      </c>
    </row>
    <row r="32" ht="13.5" thickBot="1"/>
    <row r="33" spans="1:8" ht="12.75">
      <c r="A33" s="108" t="s">
        <v>149</v>
      </c>
      <c r="B33" s="267" t="s">
        <v>192</v>
      </c>
      <c r="C33" s="268" t="s">
        <v>193</v>
      </c>
      <c r="D33" s="269" t="s">
        <v>194</v>
      </c>
      <c r="E33" s="269" t="s">
        <v>195</v>
      </c>
      <c r="F33" s="269" t="s">
        <v>196</v>
      </c>
      <c r="G33" s="269" t="s">
        <v>197</v>
      </c>
      <c r="H33" s="329" t="s">
        <v>198</v>
      </c>
    </row>
    <row r="34" spans="2:8" ht="12.75">
      <c r="B34" s="271" t="str">
        <f aca="true" t="shared" si="0" ref="B34:D37">B22</f>
        <v>Between</v>
      </c>
      <c r="C34" s="255">
        <f t="shared" si="0"/>
        <v>79</v>
      </c>
      <c r="D34" s="301">
        <f t="shared" si="0"/>
        <v>132218.75</v>
      </c>
      <c r="E34" s="301"/>
      <c r="H34" s="208"/>
    </row>
    <row r="35" spans="2:8" ht="12.75">
      <c r="B35" s="264" t="str">
        <f t="shared" si="0"/>
        <v>Altitude</v>
      </c>
      <c r="C35" s="256">
        <f t="shared" si="0"/>
        <v>3</v>
      </c>
      <c r="D35" s="108">
        <f t="shared" si="0"/>
        <v>5820.749999999971</v>
      </c>
      <c r="E35" s="104">
        <f>E23</f>
        <v>1940.2499999999902</v>
      </c>
      <c r="F35" s="104">
        <f>E35/$E$38</f>
        <v>620.8799999999969</v>
      </c>
      <c r="G35" s="172">
        <f>FINV(0.05,C35,$C$38)</f>
        <v>2.6328267528911153</v>
      </c>
      <c r="H35" s="288" t="str">
        <f>IF(F35&gt;G35,"Reject H0","Do not reject H0")</f>
        <v>Reject H0</v>
      </c>
    </row>
    <row r="36" spans="2:8" ht="12.75">
      <c r="B36" s="264" t="str">
        <f t="shared" si="0"/>
        <v>Subjects</v>
      </c>
      <c r="C36" s="256">
        <f t="shared" si="0"/>
        <v>19</v>
      </c>
      <c r="D36" s="108">
        <f t="shared" si="0"/>
        <v>100000</v>
      </c>
      <c r="E36" s="104">
        <f>E24</f>
        <v>5263.1578947368425</v>
      </c>
      <c r="G36" s="172"/>
      <c r="H36" s="288"/>
    </row>
    <row r="37" spans="2:8" ht="12.75">
      <c r="B37" s="264" t="str">
        <f t="shared" si="0"/>
        <v>AxS</v>
      </c>
      <c r="C37" s="256">
        <f t="shared" si="0"/>
        <v>57</v>
      </c>
      <c r="D37" s="108">
        <f t="shared" si="0"/>
        <v>26398.00000000003</v>
      </c>
      <c r="E37" s="104">
        <f>E25</f>
        <v>463.12280701754435</v>
      </c>
      <c r="F37" s="104">
        <f>E37/$E$38</f>
        <v>148.1992982456142</v>
      </c>
      <c r="G37" s="172">
        <f>FINV(0.05,C37,$C$38)</f>
        <v>1.368768375103206</v>
      </c>
      <c r="H37" s="288" t="str">
        <f>IF(F37&gt;G37,"Reject H0","Do not reject H0")</f>
        <v>Reject H0</v>
      </c>
    </row>
    <row r="38" spans="2:8" ht="12.75">
      <c r="B38" s="271" t="str">
        <f aca="true" t="shared" si="1" ref="B38:D39">B26</f>
        <v>Within</v>
      </c>
      <c r="C38" s="255">
        <f t="shared" si="1"/>
        <v>320</v>
      </c>
      <c r="D38" s="301">
        <f t="shared" si="1"/>
        <v>1000</v>
      </c>
      <c r="E38" s="301">
        <f>E26</f>
        <v>3.125</v>
      </c>
      <c r="F38" s="246"/>
      <c r="G38" s="246"/>
      <c r="H38" s="220"/>
    </row>
    <row r="39" spans="2:8" ht="13.5" thickBot="1">
      <c r="B39" s="221" t="str">
        <f t="shared" si="1"/>
        <v>Total</v>
      </c>
      <c r="C39" s="330">
        <f t="shared" si="1"/>
        <v>399</v>
      </c>
      <c r="D39" s="330">
        <f t="shared" si="1"/>
        <v>133218.75</v>
      </c>
      <c r="E39" s="274"/>
      <c r="F39" s="274"/>
      <c r="G39" s="278"/>
      <c r="H39" s="210"/>
    </row>
    <row r="41" spans="1:3" ht="15">
      <c r="A41" s="108" t="s">
        <v>152</v>
      </c>
      <c r="B41" s="172" t="s">
        <v>347</v>
      </c>
      <c r="C41" s="299">
        <v>42.2</v>
      </c>
    </row>
    <row r="42" spans="2:3" ht="15">
      <c r="B42" s="172" t="s">
        <v>343</v>
      </c>
      <c r="C42" s="333">
        <f>SQRT(E38/C3)</f>
        <v>0.7905694150420949</v>
      </c>
    </row>
    <row r="43" spans="2:3" ht="13.5" thickBot="1">
      <c r="B43" s="172" t="s">
        <v>344</v>
      </c>
      <c r="C43" s="333">
        <f>TINV(0.05,C38)</f>
        <v>1.9674049069455402</v>
      </c>
    </row>
    <row r="44" spans="2:3" ht="13.5" thickBot="1">
      <c r="B44" s="236" t="s">
        <v>345</v>
      </c>
      <c r="C44" s="334">
        <f>C42*C43</f>
        <v>1.5553701464348828</v>
      </c>
    </row>
    <row r="45" spans="2:3" ht="12.75">
      <c r="B45" s="172" t="s">
        <v>346</v>
      </c>
      <c r="C45" s="333">
        <f>C41-C44</f>
        <v>40.64462985356512</v>
      </c>
    </row>
    <row r="46" spans="2:3" ht="12.75">
      <c r="B46" s="172" t="s">
        <v>252</v>
      </c>
      <c r="C46" s="333">
        <f>C41+C44</f>
        <v>43.755370146434885</v>
      </c>
    </row>
    <row r="48" spans="1:6" ht="13.5" thickBot="1">
      <c r="A48" s="303" t="s">
        <v>273</v>
      </c>
      <c r="B48" s="310" t="s">
        <v>356</v>
      </c>
      <c r="C48" s="152" t="s">
        <v>153</v>
      </c>
      <c r="D48" s="300" t="s">
        <v>154</v>
      </c>
      <c r="E48" s="302" t="s">
        <v>40</v>
      </c>
      <c r="F48" s="302" t="s">
        <v>41</v>
      </c>
    </row>
    <row r="49" spans="2:6" ht="12.75">
      <c r="B49" s="311">
        <v>1</v>
      </c>
      <c r="C49" s="305">
        <v>11</v>
      </c>
      <c r="D49" s="305">
        <v>2</v>
      </c>
      <c r="E49" s="313">
        <f>C49*$D$66+$D$67</f>
        <v>5</v>
      </c>
      <c r="F49" s="314">
        <f>D49-E49</f>
        <v>-3</v>
      </c>
    </row>
    <row r="50" spans="2:6" ht="12.75">
      <c r="B50" s="311">
        <v>2</v>
      </c>
      <c r="C50" s="305">
        <v>3</v>
      </c>
      <c r="D50" s="305">
        <v>0</v>
      </c>
      <c r="E50" s="315">
        <f>C50*$D$66+$D$67</f>
        <v>3</v>
      </c>
      <c r="F50" s="326">
        <f>D50-E50</f>
        <v>-3</v>
      </c>
    </row>
    <row r="51" spans="2:6" ht="13.5" thickBot="1">
      <c r="B51" s="312">
        <v>3</v>
      </c>
      <c r="C51" s="305">
        <v>7</v>
      </c>
      <c r="D51" s="305">
        <v>10</v>
      </c>
      <c r="E51" s="343">
        <f>C51*$D$66+$D$67</f>
        <v>4</v>
      </c>
      <c r="F51" s="325">
        <f>D51-E51</f>
        <v>6</v>
      </c>
    </row>
    <row r="52" spans="2:6" ht="12.75">
      <c r="B52" s="172" t="s">
        <v>357</v>
      </c>
      <c r="C52" s="335">
        <f>SUM(C49:C51)</f>
        <v>21</v>
      </c>
      <c r="D52" s="339">
        <f>SUM(D49:D51)</f>
        <v>12</v>
      </c>
      <c r="E52" s="315">
        <f>SUM(E49:E51)</f>
        <v>12</v>
      </c>
      <c r="F52" s="326">
        <f>SUM(F49:F51)</f>
        <v>0</v>
      </c>
    </row>
    <row r="53" spans="2:6" ht="12.75">
      <c r="B53" s="172" t="s">
        <v>358</v>
      </c>
      <c r="C53" s="336">
        <f>SUMSQ(C49:C51)</f>
        <v>179</v>
      </c>
      <c r="D53" s="340">
        <f>SUMSQ(D49:D51)</f>
        <v>104</v>
      </c>
      <c r="E53" s="315">
        <f>SUMSQ(E49:E51)</f>
        <v>50</v>
      </c>
      <c r="F53" s="326">
        <f>SUMSQ(F49:F51)</f>
        <v>54</v>
      </c>
    </row>
    <row r="54" spans="2:6" ht="12.75">
      <c r="B54" s="172" t="s">
        <v>426</v>
      </c>
      <c r="C54" s="337">
        <f>C52/$D$59</f>
        <v>7</v>
      </c>
      <c r="D54" s="341">
        <f>D52/$D$59</f>
        <v>4</v>
      </c>
      <c r="E54" s="316">
        <f>E52/$D$59</f>
        <v>4</v>
      </c>
      <c r="F54" s="317">
        <f>F52/$D$59</f>
        <v>0</v>
      </c>
    </row>
    <row r="55" spans="2:6" ht="13.5" thickBot="1">
      <c r="B55" s="172" t="s">
        <v>353</v>
      </c>
      <c r="C55" s="338">
        <f>VARP(C49:C51)</f>
        <v>10.666666666666666</v>
      </c>
      <c r="D55" s="342">
        <f>VARP(D49:D51)</f>
        <v>18.666666666666668</v>
      </c>
      <c r="E55" s="318">
        <f>VARP(E49:E51)</f>
        <v>0.6666666666666666</v>
      </c>
      <c r="F55" s="328">
        <f>VARP(F49:F51)</f>
        <v>18</v>
      </c>
    </row>
    <row r="56" spans="3:4" ht="12.75">
      <c r="C56" s="305"/>
      <c r="D56" s="305"/>
    </row>
    <row r="57" spans="1:4" ht="12.75">
      <c r="A57" s="108" t="s">
        <v>274</v>
      </c>
      <c r="B57" s="246" t="s">
        <v>361</v>
      </c>
      <c r="C57" s="305"/>
      <c r="D57" s="305"/>
    </row>
    <row r="58" spans="3:4" ht="12.75">
      <c r="C58" s="305"/>
      <c r="D58" s="305"/>
    </row>
    <row r="59" spans="3:4" ht="12.75">
      <c r="C59" s="172" t="s">
        <v>88</v>
      </c>
      <c r="D59" s="304">
        <f>COUNT(C49:C51)</f>
        <v>3</v>
      </c>
    </row>
    <row r="60" spans="3:4" ht="12.75">
      <c r="C60" s="150" t="s">
        <v>155</v>
      </c>
      <c r="D60" s="309">
        <f>SUM(C49:C51)</f>
        <v>21</v>
      </c>
    </row>
    <row r="61" spans="3:4" ht="15">
      <c r="C61" s="150" t="s">
        <v>35</v>
      </c>
      <c r="D61" s="309">
        <f>SUMSQ(C49:C51)</f>
        <v>179</v>
      </c>
    </row>
    <row r="62" spans="3:4" ht="12.75">
      <c r="C62" s="150" t="s">
        <v>156</v>
      </c>
      <c r="D62" s="309">
        <f>SUM(D49:D51)</f>
        <v>12</v>
      </c>
    </row>
    <row r="63" spans="3:4" ht="15">
      <c r="C63" s="150" t="s">
        <v>36</v>
      </c>
      <c r="D63" s="309">
        <f>SUMSQ(D49:D51)</f>
        <v>104</v>
      </c>
    </row>
    <row r="64" spans="3:4" ht="12.75">
      <c r="C64" s="307" t="s">
        <v>37</v>
      </c>
      <c r="D64" s="309">
        <f>SUMPRODUCT(C49:C51,D49:D51)</f>
        <v>92</v>
      </c>
    </row>
    <row r="65" spans="3:4" ht="13.5" thickBot="1">
      <c r="C65" s="306"/>
      <c r="D65" s="137"/>
    </row>
    <row r="66" spans="1:4" ht="12.75">
      <c r="A66" s="108" t="s">
        <v>63</v>
      </c>
      <c r="B66" s="214"/>
      <c r="C66" s="319" t="s">
        <v>38</v>
      </c>
      <c r="D66" s="320">
        <f>(D59*D64-D60*D62)/(D59*D61-D60^2)</f>
        <v>0.25</v>
      </c>
    </row>
    <row r="67" spans="2:4" ht="13.5" thickBot="1">
      <c r="B67" s="221"/>
      <c r="C67" s="223" t="s">
        <v>39</v>
      </c>
      <c r="D67" s="321">
        <f>(D62-D66*D60)/D59</f>
        <v>2.25</v>
      </c>
    </row>
    <row r="68" spans="2:3" ht="12.75">
      <c r="B68" s="172"/>
      <c r="C68" s="308"/>
    </row>
    <row r="69" spans="1:4" ht="12.75">
      <c r="A69" s="108" t="s">
        <v>172</v>
      </c>
      <c r="B69" s="246" t="s">
        <v>361</v>
      </c>
      <c r="C69" s="305"/>
      <c r="D69" s="305"/>
    </row>
    <row r="70" spans="3:4" ht="13.5" thickBot="1">
      <c r="C70" s="305"/>
      <c r="D70" s="305"/>
    </row>
    <row r="71" spans="1:4" ht="15">
      <c r="A71" s="108" t="s">
        <v>420</v>
      </c>
      <c r="B71" s="234" t="s">
        <v>354</v>
      </c>
      <c r="C71" s="320">
        <f>((D59*D64-D60*D62))^2/((D59*D61-D60^2)*(D59*D63-D62^2))</f>
        <v>0.03571428571428571</v>
      </c>
      <c r="D71" s="104" t="s">
        <v>355</v>
      </c>
    </row>
    <row r="72" spans="2:3" ht="13.5" thickBot="1">
      <c r="B72" s="226" t="s">
        <v>360</v>
      </c>
      <c r="C72" s="321">
        <f>SQRT(C71)</f>
        <v>0.1889822365046136</v>
      </c>
    </row>
    <row r="73" spans="2:3" ht="13.5" thickBot="1">
      <c r="B73" s="172"/>
      <c r="C73" s="308"/>
    </row>
    <row r="74" spans="1:4" ht="15.75" thickBot="1">
      <c r="A74" s="108" t="s">
        <v>152</v>
      </c>
      <c r="B74" s="236" t="s">
        <v>354</v>
      </c>
      <c r="C74" s="322">
        <f>E55/D55</f>
        <v>0.03571428571428571</v>
      </c>
      <c r="D74" s="104" t="s">
        <v>359</v>
      </c>
    </row>
    <row r="75" ht="13.5" thickBot="1">
      <c r="B75" s="172"/>
    </row>
    <row r="76" spans="1:7" ht="13.5" thickBot="1">
      <c r="A76" s="108" t="s">
        <v>362</v>
      </c>
      <c r="B76" s="323" t="s">
        <v>363</v>
      </c>
      <c r="C76" s="286"/>
      <c r="D76" s="286"/>
      <c r="E76" s="286"/>
      <c r="F76" s="286"/>
      <c r="G76" s="185"/>
    </row>
    <row r="77" ht="12.75">
      <c r="B77" s="172"/>
    </row>
    <row r="78" ht="12.75">
      <c r="B78" s="172"/>
    </row>
    <row r="79" ht="12.75">
      <c r="B79" s="172"/>
    </row>
    <row r="80" ht="12.75">
      <c r="B80" s="172"/>
    </row>
    <row r="81" ht="12.75">
      <c r="B81" s="172"/>
    </row>
  </sheetData>
  <mergeCells count="1">
    <mergeCell ref="C6:F6"/>
  </mergeCells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33"/>
  <sheetViews>
    <sheetView zoomScale="125" zoomScaleNormal="125" workbookViewId="0" topLeftCell="A42">
      <selection activeCell="C53" sqref="C53"/>
    </sheetView>
  </sheetViews>
  <sheetFormatPr defaultColWidth="11.00390625" defaultRowHeight="12.75"/>
  <cols>
    <col min="1" max="1" width="4.25390625" style="12" customWidth="1"/>
    <col min="2" max="2" width="17.875" style="41" customWidth="1"/>
    <col min="3" max="6" width="12.625" style="18" customWidth="1"/>
    <col min="7" max="7" width="11.75390625" style="18" customWidth="1"/>
    <col min="8" max="8" width="14.875" style="18" customWidth="1"/>
    <col min="9" max="9" width="13.625" style="18" customWidth="1"/>
    <col min="10" max="10" width="11.00390625" style="18" customWidth="1"/>
    <col min="11" max="16384" width="10.75390625" style="18" customWidth="1"/>
  </cols>
  <sheetData>
    <row r="1" spans="1:6" s="35" customFormat="1" ht="13.5">
      <c r="A1" s="30" t="s">
        <v>207</v>
      </c>
      <c r="B1" s="9" t="s">
        <v>279</v>
      </c>
      <c r="C1" s="346">
        <v>0.1</v>
      </c>
      <c r="D1" s="19" t="s">
        <v>115</v>
      </c>
      <c r="E1" s="19"/>
      <c r="F1" s="19"/>
    </row>
    <row r="2" spans="1:6" s="35" customFormat="1" ht="13.5">
      <c r="A2" s="9"/>
      <c r="B2" s="344" t="s">
        <v>208</v>
      </c>
      <c r="C2" s="345">
        <v>3</v>
      </c>
      <c r="D2" s="19" t="s">
        <v>116</v>
      </c>
      <c r="E2" s="19"/>
      <c r="F2" s="19"/>
    </row>
    <row r="3" spans="1:6" s="35" customFormat="1" ht="13.5">
      <c r="A3" s="9"/>
      <c r="B3" s="344" t="s">
        <v>114</v>
      </c>
      <c r="C3" s="345">
        <v>1.1</v>
      </c>
      <c r="D3" s="19" t="s">
        <v>117</v>
      </c>
      <c r="E3" s="19"/>
      <c r="F3" s="19"/>
    </row>
    <row r="4" spans="1:6" s="35" customFormat="1" ht="15" thickBot="1">
      <c r="A4" s="9"/>
      <c r="B4" s="9"/>
      <c r="C4" s="29"/>
      <c r="D4" s="23"/>
      <c r="E4" s="23"/>
      <c r="F4" s="23"/>
    </row>
    <row r="5" spans="1:8" s="35" customFormat="1" ht="13.5">
      <c r="A5" s="9"/>
      <c r="B5" s="350" t="s">
        <v>118</v>
      </c>
      <c r="C5" s="351"/>
      <c r="D5" s="352"/>
      <c r="E5" s="352"/>
      <c r="F5" s="352"/>
      <c r="G5" s="353"/>
      <c r="H5" s="354"/>
    </row>
    <row r="6" spans="1:8" s="35" customFormat="1" ht="13.5">
      <c r="A6" s="10"/>
      <c r="B6" s="355"/>
      <c r="C6" s="41" t="s">
        <v>119</v>
      </c>
      <c r="F6" s="41"/>
      <c r="G6" s="18"/>
      <c r="H6" s="356"/>
    </row>
    <row r="7" spans="1:8" s="35" customFormat="1" ht="15" thickBot="1">
      <c r="A7" s="10"/>
      <c r="B7" s="357"/>
      <c r="C7" s="358" t="s">
        <v>277</v>
      </c>
      <c r="D7" s="359"/>
      <c r="E7" s="359"/>
      <c r="F7" s="358"/>
      <c r="G7" s="360"/>
      <c r="H7" s="361"/>
    </row>
    <row r="8" spans="1:3" s="35" customFormat="1" ht="13.5">
      <c r="A8" s="10"/>
      <c r="B8" s="10"/>
      <c r="C8" s="31"/>
    </row>
    <row r="9" spans="1:10" s="35" customFormat="1" ht="13.5">
      <c r="A9" s="11"/>
      <c r="B9" s="35" t="s">
        <v>113</v>
      </c>
      <c r="C9" s="21"/>
      <c r="D9" s="41"/>
      <c r="E9" s="41"/>
      <c r="F9" s="41"/>
      <c r="G9" s="41"/>
      <c r="H9" s="41"/>
      <c r="I9" s="41"/>
      <c r="J9" s="41"/>
    </row>
    <row r="10" spans="1:10" s="35" customFormat="1" ht="13.5">
      <c r="A10" s="11"/>
      <c r="C10" s="21"/>
      <c r="D10" s="41"/>
      <c r="E10" s="41"/>
      <c r="F10" s="41"/>
      <c r="G10" s="41"/>
      <c r="H10" s="41"/>
      <c r="I10" s="41"/>
      <c r="J10" s="41"/>
    </row>
    <row r="11" spans="1:10" s="35" customFormat="1" ht="15.75">
      <c r="A11" s="10"/>
      <c r="B11" s="10" t="s">
        <v>282</v>
      </c>
      <c r="C11" s="347">
        <v>2</v>
      </c>
      <c r="D11" s="41"/>
      <c r="E11" s="41"/>
      <c r="F11" s="41"/>
      <c r="G11" s="41"/>
      <c r="H11" s="41"/>
      <c r="I11" s="41"/>
      <c r="J11" s="41"/>
    </row>
    <row r="12" spans="1:10" s="35" customFormat="1" ht="15.75">
      <c r="A12" s="10"/>
      <c r="B12" s="14" t="s">
        <v>281</v>
      </c>
      <c r="C12" s="348">
        <f>(C11-C2)/C3</f>
        <v>-0.9090909090909091</v>
      </c>
      <c r="D12" s="41"/>
      <c r="E12" s="41"/>
      <c r="F12" s="41"/>
      <c r="G12" s="41"/>
      <c r="H12" s="41"/>
      <c r="I12" s="41"/>
      <c r="J12" s="41"/>
    </row>
    <row r="13" spans="1:10" s="35" customFormat="1" ht="16.5" thickBot="1">
      <c r="A13" s="10"/>
      <c r="B13" s="14" t="s">
        <v>278</v>
      </c>
      <c r="C13" s="34">
        <f>C12*C1</f>
        <v>-0.09090909090909091</v>
      </c>
      <c r="D13" s="41"/>
      <c r="E13" s="41"/>
      <c r="F13" s="41"/>
      <c r="G13" s="41"/>
      <c r="H13" s="41"/>
      <c r="I13" s="41"/>
      <c r="J13" s="41"/>
    </row>
    <row r="14" spans="1:10" s="35" customFormat="1" ht="16.5" thickBot="1">
      <c r="A14" s="10"/>
      <c r="B14" s="349" t="s">
        <v>280</v>
      </c>
      <c r="C14" s="362">
        <f>C2+C13*C3</f>
        <v>2.9</v>
      </c>
      <c r="D14" s="22"/>
      <c r="E14" s="22"/>
      <c r="F14" s="41"/>
      <c r="G14" s="41"/>
      <c r="H14" s="41"/>
      <c r="I14" s="41"/>
      <c r="J14" s="41"/>
    </row>
    <row r="15" spans="1:10" s="35" customFormat="1" ht="13.5">
      <c r="A15" s="11"/>
      <c r="B15" s="10"/>
      <c r="C15" s="31"/>
      <c r="D15" s="22"/>
      <c r="E15" s="22"/>
      <c r="F15" s="41"/>
      <c r="G15" s="41"/>
      <c r="H15" s="41"/>
      <c r="I15" s="41"/>
      <c r="J15" s="41"/>
    </row>
    <row r="16" spans="1:10" s="35" customFormat="1" ht="15.75">
      <c r="A16" s="10"/>
      <c r="B16" s="10" t="s">
        <v>283</v>
      </c>
      <c r="C16" s="347">
        <v>3.5</v>
      </c>
      <c r="D16" s="22"/>
      <c r="E16" s="22"/>
      <c r="F16" s="41"/>
      <c r="G16" s="41"/>
      <c r="H16" s="41"/>
      <c r="I16" s="41"/>
      <c r="J16" s="41"/>
    </row>
    <row r="17" spans="1:10" s="35" customFormat="1" ht="15.75">
      <c r="A17" s="10"/>
      <c r="B17" s="14" t="s">
        <v>281</v>
      </c>
      <c r="C17" s="348">
        <f>(C16-C2)/C3</f>
        <v>0.45454545454545453</v>
      </c>
      <c r="D17" s="22"/>
      <c r="E17" s="22"/>
      <c r="F17" s="41"/>
      <c r="G17" s="41"/>
      <c r="H17" s="41"/>
      <c r="I17" s="41"/>
      <c r="J17" s="41"/>
    </row>
    <row r="18" spans="1:5" s="35" customFormat="1" ht="16.5" thickBot="1">
      <c r="A18" s="10"/>
      <c r="B18" s="14" t="s">
        <v>278</v>
      </c>
      <c r="C18" s="34">
        <f>C17*C1</f>
        <v>0.045454545454545456</v>
      </c>
      <c r="D18" s="22"/>
      <c r="E18" s="22"/>
    </row>
    <row r="19" spans="1:5" s="35" customFormat="1" ht="16.5" thickBot="1">
      <c r="A19" s="10"/>
      <c r="B19" s="349" t="s">
        <v>280</v>
      </c>
      <c r="C19" s="362">
        <f>C2+C18*C3</f>
        <v>3.05</v>
      </c>
      <c r="E19" s="22"/>
    </row>
    <row r="20" spans="1:5" s="35" customFormat="1" ht="13.5">
      <c r="A20" s="10"/>
      <c r="B20" s="10"/>
      <c r="C20" s="31"/>
      <c r="E20" s="22"/>
    </row>
    <row r="21" spans="1:5" s="35" customFormat="1" ht="13.5">
      <c r="A21" s="10"/>
      <c r="B21" s="37" t="s">
        <v>74</v>
      </c>
      <c r="C21" s="37"/>
      <c r="D21" s="22"/>
      <c r="E21" s="22"/>
    </row>
    <row r="22" spans="1:7" s="35" customFormat="1" ht="13.5">
      <c r="A22" s="10"/>
      <c r="B22" s="14"/>
      <c r="C22" s="37"/>
      <c r="D22" s="22"/>
      <c r="E22" s="22"/>
      <c r="F22" s="41"/>
      <c r="G22" s="18"/>
    </row>
    <row r="23" spans="1:7" s="35" customFormat="1" ht="13.5">
      <c r="A23" s="10"/>
      <c r="B23" s="11"/>
      <c r="C23" s="31"/>
      <c r="D23" s="22"/>
      <c r="E23" s="22"/>
      <c r="F23" s="41"/>
      <c r="G23" s="18"/>
    </row>
    <row r="24" spans="1:3" s="35" customFormat="1" ht="13.5">
      <c r="A24" s="372" t="s">
        <v>273</v>
      </c>
      <c r="B24" s="10" t="s">
        <v>88</v>
      </c>
      <c r="C24" s="31">
        <v>20</v>
      </c>
    </row>
    <row r="25" spans="1:10" s="35" customFormat="1" ht="15" thickBot="1">
      <c r="A25" s="10"/>
      <c r="J25" s="41"/>
    </row>
    <row r="26" spans="1:10" s="35" customFormat="1" ht="13.5">
      <c r="A26" s="10"/>
      <c r="B26" s="363" t="s">
        <v>75</v>
      </c>
      <c r="C26" s="376" t="s">
        <v>76</v>
      </c>
      <c r="D26" s="377" t="s">
        <v>77</v>
      </c>
      <c r="E26" s="364" t="s">
        <v>78</v>
      </c>
      <c r="F26" s="401" t="s">
        <v>79</v>
      </c>
      <c r="G26" s="18"/>
      <c r="J26" s="41"/>
    </row>
    <row r="27" spans="1:8" ht="13.5">
      <c r="A27" s="12" t="s">
        <v>274</v>
      </c>
      <c r="B27" s="365">
        <v>6</v>
      </c>
      <c r="C27" s="378">
        <f>B27-$G$27</f>
        <v>-15</v>
      </c>
      <c r="D27" s="379">
        <v>0</v>
      </c>
      <c r="E27" s="369">
        <v>3</v>
      </c>
      <c r="F27" s="38">
        <f>E27*$C$24</f>
        <v>60</v>
      </c>
      <c r="G27" s="366">
        <f>AVERAGE(B27:B31)</f>
        <v>21</v>
      </c>
      <c r="H27" s="18" t="s">
        <v>111</v>
      </c>
    </row>
    <row r="28" spans="1:11" s="35" customFormat="1" ht="13.5">
      <c r="A28" s="11"/>
      <c r="B28" s="365">
        <v>8</v>
      </c>
      <c r="C28" s="378">
        <f>B28-$G$27</f>
        <v>-13</v>
      </c>
      <c r="D28" s="379">
        <v>0</v>
      </c>
      <c r="E28" s="369">
        <v>3</v>
      </c>
      <c r="F28" s="38">
        <f aca="true" t="shared" si="0" ref="F28:F34">E28*$C$24</f>
        <v>60</v>
      </c>
      <c r="G28" s="368">
        <f>AVERAGE(B32:B34)</f>
        <v>75</v>
      </c>
      <c r="H28" s="18" t="s">
        <v>112</v>
      </c>
      <c r="J28" s="41"/>
      <c r="K28" s="41"/>
    </row>
    <row r="29" spans="1:11" s="35" customFormat="1" ht="13.5">
      <c r="A29" s="11"/>
      <c r="B29" s="365">
        <v>16</v>
      </c>
      <c r="C29" s="378">
        <f>B29-$G$27</f>
        <v>-5</v>
      </c>
      <c r="D29" s="379">
        <v>0</v>
      </c>
      <c r="E29" s="369">
        <v>5</v>
      </c>
      <c r="F29" s="38">
        <f t="shared" si="0"/>
        <v>100</v>
      </c>
      <c r="H29" s="41"/>
      <c r="J29" s="41"/>
      <c r="K29" s="41"/>
    </row>
    <row r="30" spans="1:11" s="35" customFormat="1" ht="13.5">
      <c r="A30" s="13"/>
      <c r="B30" s="365">
        <v>30</v>
      </c>
      <c r="C30" s="378">
        <f>B30-$G$27</f>
        <v>9</v>
      </c>
      <c r="D30" s="379">
        <v>0</v>
      </c>
      <c r="E30" s="369">
        <v>8</v>
      </c>
      <c r="F30" s="38">
        <f t="shared" si="0"/>
        <v>160</v>
      </c>
      <c r="G30" s="18"/>
      <c r="J30" s="41"/>
      <c r="K30" s="41"/>
    </row>
    <row r="31" spans="1:11" s="35" customFormat="1" ht="13.5">
      <c r="A31" s="13"/>
      <c r="B31" s="365">
        <v>45</v>
      </c>
      <c r="C31" s="378">
        <f>B31-$G$27</f>
        <v>24</v>
      </c>
      <c r="D31" s="379">
        <v>0</v>
      </c>
      <c r="E31" s="369">
        <v>7</v>
      </c>
      <c r="F31" s="38">
        <f t="shared" si="0"/>
        <v>140</v>
      </c>
      <c r="G31" s="41"/>
      <c r="J31" s="41"/>
      <c r="K31" s="41"/>
    </row>
    <row r="32" spans="1:11" s="35" customFormat="1" ht="13.5">
      <c r="A32" s="10"/>
      <c r="B32" s="38">
        <v>65</v>
      </c>
      <c r="C32" s="378">
        <v>0</v>
      </c>
      <c r="D32" s="380">
        <v>2</v>
      </c>
      <c r="E32" s="369">
        <v>6</v>
      </c>
      <c r="F32" s="38">
        <f t="shared" si="0"/>
        <v>120</v>
      </c>
      <c r="G32" s="41"/>
      <c r="J32" s="41"/>
      <c r="K32" s="41"/>
    </row>
    <row r="33" spans="1:11" s="35" customFormat="1" ht="13.5">
      <c r="A33" s="10"/>
      <c r="B33" s="367">
        <v>70</v>
      </c>
      <c r="C33" s="381">
        <v>0</v>
      </c>
      <c r="D33" s="380">
        <v>1</v>
      </c>
      <c r="E33" s="369">
        <v>3</v>
      </c>
      <c r="F33" s="38">
        <f t="shared" si="0"/>
        <v>60</v>
      </c>
      <c r="J33" s="41"/>
      <c r="K33" s="41"/>
    </row>
    <row r="34" spans="1:11" s="35" customFormat="1" ht="15" thickBot="1">
      <c r="A34" s="10"/>
      <c r="B34" s="367">
        <v>90</v>
      </c>
      <c r="C34" s="382">
        <v>0</v>
      </c>
      <c r="D34" s="383">
        <v>-3</v>
      </c>
      <c r="E34" s="370">
        <v>2</v>
      </c>
      <c r="F34" s="363">
        <f t="shared" si="0"/>
        <v>40</v>
      </c>
      <c r="J34" s="41"/>
      <c r="K34" s="41"/>
    </row>
    <row r="35" spans="1:11" s="35" customFormat="1" ht="13.5">
      <c r="A35" s="10"/>
      <c r="B35" s="38"/>
      <c r="C35" s="36"/>
      <c r="D35" s="38"/>
      <c r="E35" s="38"/>
      <c r="F35" s="38">
        <f>SUM(F27:F34)</f>
        <v>740</v>
      </c>
      <c r="G35" s="20" t="s">
        <v>80</v>
      </c>
      <c r="J35" s="41"/>
      <c r="K35" s="41"/>
    </row>
    <row r="36" spans="1:11" s="35" customFormat="1" ht="13.5">
      <c r="A36" s="10"/>
      <c r="B36" s="10" t="s">
        <v>151</v>
      </c>
      <c r="C36" s="37">
        <f>SUMSQ(F27:F34)/C24-F35^2/(8*C24)</f>
        <v>677.5</v>
      </c>
      <c r="J36" s="41"/>
      <c r="K36" s="41"/>
    </row>
    <row r="37" spans="1:11" s="35" customFormat="1" ht="15" thickBot="1">
      <c r="A37" s="10"/>
      <c r="B37" s="10"/>
      <c r="C37" s="37"/>
      <c r="J37" s="41"/>
      <c r="K37" s="41"/>
    </row>
    <row r="38" spans="1:3" s="35" customFormat="1" ht="13.5">
      <c r="A38" s="10" t="s">
        <v>63</v>
      </c>
      <c r="B38" s="375" t="s">
        <v>81</v>
      </c>
      <c r="C38" s="410">
        <f>($C$24*(SUMPRODUCT(C27:C34,E27:E34)^2)/SUMSQ(C27:C34))</f>
        <v>318.97769516728624</v>
      </c>
    </row>
    <row r="39" spans="1:8" s="35" customFormat="1" ht="13.5">
      <c r="A39" s="10"/>
      <c r="B39" s="355" t="s">
        <v>82</v>
      </c>
      <c r="C39" s="411">
        <f>($C$24*(SUMPRODUCT(D27:D34,E27:E34)^2)/SUMSQ(D27:D34))</f>
        <v>115.71428571428571</v>
      </c>
      <c r="G39" s="41"/>
      <c r="H39" s="41"/>
    </row>
    <row r="40" spans="1:8" s="35" customFormat="1" ht="15" thickBot="1">
      <c r="A40" s="20"/>
      <c r="B40" s="357" t="s">
        <v>259</v>
      </c>
      <c r="C40" s="412">
        <f>C36-(C38+C39)</f>
        <v>242.80801911842804</v>
      </c>
      <c r="G40" s="41"/>
      <c r="H40" s="41"/>
    </row>
    <row r="41" spans="1:8" s="35" customFormat="1" ht="15" thickBot="1">
      <c r="A41" s="10"/>
      <c r="B41" s="10"/>
      <c r="C41" s="31"/>
      <c r="G41" s="41"/>
      <c r="H41" s="41"/>
    </row>
    <row r="42" spans="1:9" s="35" customFormat="1" ht="13.5">
      <c r="A42" s="10" t="s">
        <v>233</v>
      </c>
      <c r="B42" s="414" t="s">
        <v>177</v>
      </c>
      <c r="C42" s="415" t="s">
        <v>53</v>
      </c>
      <c r="D42" s="385" t="s">
        <v>178</v>
      </c>
      <c r="E42" s="385" t="s">
        <v>179</v>
      </c>
      <c r="F42" s="416" t="s">
        <v>108</v>
      </c>
      <c r="G42" s="385" t="s">
        <v>180</v>
      </c>
      <c r="H42" s="385" t="s">
        <v>448</v>
      </c>
      <c r="I42" s="417" t="s">
        <v>129</v>
      </c>
    </row>
    <row r="43" spans="1:9" s="35" customFormat="1" ht="13.5">
      <c r="A43" s="10"/>
      <c r="B43" s="271" t="s">
        <v>338</v>
      </c>
      <c r="C43" s="305">
        <f>COUNT(B27:B34)-1</f>
        <v>7</v>
      </c>
      <c r="D43" s="384">
        <f>C36</f>
        <v>677.5</v>
      </c>
      <c r="E43" s="384"/>
      <c r="F43" s="404">
        <f>D43/$D$43</f>
        <v>1</v>
      </c>
      <c r="G43" s="104"/>
      <c r="H43" s="104"/>
      <c r="I43" s="208"/>
    </row>
    <row r="44" spans="1:9" s="35" customFormat="1" ht="13.5">
      <c r="A44" s="10"/>
      <c r="B44" s="264" t="s">
        <v>83</v>
      </c>
      <c r="C44" s="291">
        <v>1</v>
      </c>
      <c r="D44" s="108">
        <f>C38</f>
        <v>318.97769516728624</v>
      </c>
      <c r="E44" s="104">
        <f>D44/C44</f>
        <v>318.97769516728624</v>
      </c>
      <c r="F44" s="374">
        <f>D44/$D$43</f>
        <v>0.47081578622477677</v>
      </c>
      <c r="G44" s="373">
        <f>E44/$E$47</f>
        <v>12.75910780669145</v>
      </c>
      <c r="H44" s="172">
        <f>FINV(0.05,C44,$C$47)</f>
        <v>3.9033663628706705</v>
      </c>
      <c r="I44" s="288" t="str">
        <f>IF(G44&gt;H44,"Reject H0","Do not reject H0")</f>
        <v>Reject H0</v>
      </c>
    </row>
    <row r="45" spans="1:9" s="35" customFormat="1" ht="13.5">
      <c r="A45" s="10"/>
      <c r="B45" s="264" t="s">
        <v>106</v>
      </c>
      <c r="C45" s="291">
        <v>1</v>
      </c>
      <c r="D45" s="108">
        <f>C39</f>
        <v>115.71428571428571</v>
      </c>
      <c r="E45" s="104">
        <f>D45/C45</f>
        <v>115.71428571428571</v>
      </c>
      <c r="F45" s="374">
        <f>D45/$D$43</f>
        <v>0.17079599367422243</v>
      </c>
      <c r="G45" s="373">
        <f>E45/$E$47</f>
        <v>4.628571428571428</v>
      </c>
      <c r="H45" s="172">
        <f>FINV(0.05,C45,$C$47)</f>
        <v>3.9033663628706705</v>
      </c>
      <c r="I45" s="288" t="str">
        <f>IF(G45&gt;H45,"Reject H0","Do not reject H0")</f>
        <v>Reject H0</v>
      </c>
    </row>
    <row r="46" spans="1:9" s="35" customFormat="1" ht="13.5">
      <c r="A46" s="10"/>
      <c r="B46" s="264" t="s">
        <v>107</v>
      </c>
      <c r="C46" s="291">
        <f>C43-(C44+C45)</f>
        <v>5</v>
      </c>
      <c r="D46" s="108">
        <f>C40</f>
        <v>242.80801911842804</v>
      </c>
      <c r="E46" s="104">
        <f>D46/C46</f>
        <v>48.56160382368561</v>
      </c>
      <c r="F46" s="374">
        <f>D46/$D$43</f>
        <v>0.3583882201010008</v>
      </c>
      <c r="G46" s="373">
        <f>E46/$E$47</f>
        <v>1.9424641529474242</v>
      </c>
      <c r="H46" s="172">
        <f>FINV(0.05,C46,$C$47)</f>
        <v>2.2736854985719024</v>
      </c>
      <c r="I46" s="288" t="str">
        <f>IF(G46&gt;H46,"Reject H0","Do not reject H0")</f>
        <v>Do not reject H0</v>
      </c>
    </row>
    <row r="47" spans="1:9" s="35" customFormat="1" ht="13.5">
      <c r="A47" s="10"/>
      <c r="B47" s="271" t="s">
        <v>449</v>
      </c>
      <c r="C47" s="305">
        <f>COUNT(B27:B34)*(C24-1)</f>
        <v>152</v>
      </c>
      <c r="D47" s="38">
        <f>E47*C47</f>
        <v>3800</v>
      </c>
      <c r="E47" s="384">
        <v>25</v>
      </c>
      <c r="F47" s="374"/>
      <c r="G47" s="373"/>
      <c r="H47" s="172"/>
      <c r="I47" s="288"/>
    </row>
    <row r="48" spans="1:9" s="35" customFormat="1" ht="15" thickBot="1">
      <c r="A48" s="10"/>
      <c r="B48" s="418" t="s">
        <v>171</v>
      </c>
      <c r="C48" s="419">
        <f>C43+C47</f>
        <v>159</v>
      </c>
      <c r="D48" s="419">
        <f>D43+D47</f>
        <v>4477.5</v>
      </c>
      <c r="E48" s="359"/>
      <c r="F48" s="359"/>
      <c r="G48" s="283"/>
      <c r="H48" s="283"/>
      <c r="I48" s="284"/>
    </row>
    <row r="49" spans="1:6" s="35" customFormat="1" ht="15" thickBot="1">
      <c r="A49" s="10"/>
      <c r="D49" s="41"/>
      <c r="E49" s="41"/>
      <c r="F49" s="41"/>
    </row>
    <row r="50" spans="1:3" s="35" customFormat="1" ht="13.5">
      <c r="A50" s="10" t="s">
        <v>420</v>
      </c>
      <c r="B50" s="375" t="s">
        <v>109</v>
      </c>
      <c r="C50" s="410">
        <f>SQRT(F44)</f>
        <v>0.6861601753415719</v>
      </c>
    </row>
    <row r="51" spans="1:3" s="35" customFormat="1" ht="15" thickBot="1">
      <c r="A51" s="10"/>
      <c r="B51" s="357" t="s">
        <v>110</v>
      </c>
      <c r="C51" s="412">
        <f>SQRT(F45)</f>
        <v>0.41327471937468235</v>
      </c>
    </row>
    <row r="52" spans="1:3" s="35" customFormat="1" ht="15" thickBot="1">
      <c r="A52" s="10"/>
      <c r="B52" s="10"/>
      <c r="C52" s="371"/>
    </row>
    <row r="53" spans="1:3" s="35" customFormat="1" ht="16.5" thickBot="1">
      <c r="A53" s="10" t="s">
        <v>152</v>
      </c>
      <c r="B53" s="413" t="s">
        <v>213</v>
      </c>
      <c r="C53" s="420">
        <f>(D43-C43*E47)/(D48+E47)</f>
        <v>0.1116046640755136</v>
      </c>
    </row>
    <row r="54" spans="1:8" s="35" customFormat="1" ht="13.5">
      <c r="A54" s="10"/>
      <c r="B54" s="10"/>
      <c r="C54" s="41"/>
      <c r="H54" s="421"/>
    </row>
    <row r="55" spans="1:6" ht="13.5">
      <c r="A55" s="13"/>
      <c r="B55" s="35"/>
      <c r="C55" s="41"/>
      <c r="D55" s="28"/>
      <c r="E55" s="28"/>
      <c r="F55" s="28"/>
    </row>
    <row r="56" spans="2:6" ht="15" thickBot="1">
      <c r="B56" s="33"/>
      <c r="C56" s="32"/>
      <c r="D56" s="27"/>
      <c r="E56" s="27"/>
      <c r="F56" s="24"/>
    </row>
    <row r="57" spans="1:7" s="390" customFormat="1" ht="15.75">
      <c r="A57" s="386" t="s">
        <v>308</v>
      </c>
      <c r="B57" s="407" t="s">
        <v>306</v>
      </c>
      <c r="C57" s="387" t="s">
        <v>320</v>
      </c>
      <c r="D57" s="388"/>
      <c r="E57" s="388"/>
      <c r="F57" s="389"/>
      <c r="G57" s="393"/>
    </row>
    <row r="58" spans="2:7" s="390" customFormat="1" ht="15.75">
      <c r="B58" s="408" t="s">
        <v>307</v>
      </c>
      <c r="C58" s="391" t="s">
        <v>321</v>
      </c>
      <c r="D58" s="392"/>
      <c r="E58" s="392"/>
      <c r="F58" s="394"/>
      <c r="G58" s="393"/>
    </row>
    <row r="59" spans="2:11" s="390" customFormat="1" ht="15.75">
      <c r="B59" s="408" t="s">
        <v>307</v>
      </c>
      <c r="C59" s="391" t="s">
        <v>305</v>
      </c>
      <c r="D59" s="393"/>
      <c r="E59" s="395"/>
      <c r="F59" s="397"/>
      <c r="G59" s="396"/>
      <c r="K59" s="391"/>
    </row>
    <row r="60" spans="2:11" s="390" customFormat="1" ht="16.5" thickBot="1">
      <c r="B60" s="409" t="s">
        <v>307</v>
      </c>
      <c r="C60" s="398" t="s">
        <v>304</v>
      </c>
      <c r="D60" s="399"/>
      <c r="E60" s="399"/>
      <c r="F60" s="400"/>
      <c r="G60" s="396"/>
      <c r="K60" s="391"/>
    </row>
    <row r="61" spans="2:7" ht="13.5">
      <c r="B61" s="12"/>
      <c r="C61" s="37"/>
      <c r="D61" s="41"/>
      <c r="E61" s="41"/>
      <c r="F61" s="41"/>
      <c r="G61" s="41"/>
    </row>
    <row r="62" spans="2:7" ht="13.5">
      <c r="B62" s="12"/>
      <c r="C62" s="371"/>
      <c r="D62" s="41"/>
      <c r="E62" s="41"/>
      <c r="F62" s="41"/>
      <c r="G62" s="41"/>
    </row>
    <row r="63" spans="1:7" ht="13.5">
      <c r="A63" s="17" t="s">
        <v>242</v>
      </c>
      <c r="C63" s="12" t="s">
        <v>312</v>
      </c>
      <c r="D63" s="402">
        <v>1000</v>
      </c>
      <c r="E63" s="41"/>
      <c r="F63" s="41"/>
      <c r="G63" s="41"/>
    </row>
    <row r="64" spans="5:9" ht="13.5">
      <c r="E64" s="41"/>
      <c r="F64" s="41"/>
      <c r="G64" s="41"/>
      <c r="H64" s="390"/>
      <c r="I64" s="390"/>
    </row>
    <row r="65" spans="2:9" ht="15.75">
      <c r="B65" s="14"/>
      <c r="C65" s="401" t="s">
        <v>311</v>
      </c>
      <c r="D65" s="363" t="s">
        <v>313</v>
      </c>
      <c r="E65" s="401" t="s">
        <v>314</v>
      </c>
      <c r="F65" s="401" t="s">
        <v>316</v>
      </c>
      <c r="G65" s="41"/>
      <c r="H65" s="390"/>
      <c r="I65" s="390"/>
    </row>
    <row r="66" spans="2:9" ht="13.5">
      <c r="B66" s="374" t="s">
        <v>309</v>
      </c>
      <c r="C66" s="405">
        <v>325</v>
      </c>
      <c r="D66" s="404">
        <v>0.25</v>
      </c>
      <c r="E66" s="406">
        <f>D66*$D$63</f>
        <v>250</v>
      </c>
      <c r="F66" s="403">
        <f>(E66-C66)^2/E66</f>
        <v>22.5</v>
      </c>
      <c r="G66" s="41"/>
      <c r="H66" s="391"/>
      <c r="I66" s="390"/>
    </row>
    <row r="67" spans="2:9" ht="13.5">
      <c r="B67" s="374" t="s">
        <v>315</v>
      </c>
      <c r="C67" s="405">
        <v>340</v>
      </c>
      <c r="D67" s="404">
        <v>0.5</v>
      </c>
      <c r="E67" s="406">
        <f>D67*$D$63</f>
        <v>500</v>
      </c>
      <c r="F67" s="403">
        <f>(E67-C67)^2/E67</f>
        <v>51.2</v>
      </c>
      <c r="G67" s="41"/>
      <c r="H67" s="391"/>
      <c r="I67" s="390"/>
    </row>
    <row r="68" spans="2:9" ht="13.5">
      <c r="B68" s="374" t="s">
        <v>310</v>
      </c>
      <c r="C68" s="405">
        <f>D63-SUM(C66:C67)</f>
        <v>335</v>
      </c>
      <c r="D68" s="404">
        <v>0.25</v>
      </c>
      <c r="E68" s="406">
        <f>D68*$D$63</f>
        <v>250</v>
      </c>
      <c r="F68" s="403">
        <f>(E68-C68)^2/E68</f>
        <v>28.9</v>
      </c>
      <c r="G68" s="41"/>
      <c r="H68" s="41"/>
      <c r="I68" s="41"/>
    </row>
    <row r="69" spans="2:9" ht="15" thickBot="1">
      <c r="B69" s="10"/>
      <c r="C69" s="41"/>
      <c r="D69" s="35"/>
      <c r="E69" s="41"/>
      <c r="F69" s="41"/>
      <c r="G69" s="41"/>
      <c r="H69" s="41"/>
      <c r="I69" s="41"/>
    </row>
    <row r="70" spans="2:9" ht="15.75">
      <c r="B70" s="375" t="s">
        <v>317</v>
      </c>
      <c r="C70" s="410">
        <f>SUM(F66:F68)</f>
        <v>102.6</v>
      </c>
      <c r="D70" s="35"/>
      <c r="G70" s="41"/>
      <c r="H70" s="41"/>
      <c r="I70" s="41"/>
    </row>
    <row r="71" spans="2:9" ht="15.75">
      <c r="B71" s="355" t="s">
        <v>318</v>
      </c>
      <c r="C71" s="411">
        <f>CHIINV(0.05,2)</f>
        <v>5.991464547191414</v>
      </c>
      <c r="D71" s="35"/>
      <c r="G71" s="41"/>
      <c r="H71" s="41"/>
      <c r="I71" s="41"/>
    </row>
    <row r="72" spans="2:9" ht="15" thickBot="1">
      <c r="B72" s="357"/>
      <c r="C72" s="412" t="s">
        <v>319</v>
      </c>
      <c r="D72" s="35"/>
      <c r="G72" s="41"/>
      <c r="H72" s="41"/>
      <c r="I72" s="41"/>
    </row>
    <row r="73" spans="2:9" ht="13.5">
      <c r="B73" s="10"/>
      <c r="D73" s="35"/>
      <c r="F73" s="41"/>
      <c r="G73" s="41"/>
      <c r="H73" s="41"/>
      <c r="I73" s="41"/>
    </row>
    <row r="74" spans="3:9" ht="13.5">
      <c r="C74" s="35"/>
      <c r="D74" s="35"/>
      <c r="E74" s="41"/>
      <c r="F74" s="41"/>
      <c r="G74" s="41"/>
      <c r="H74" s="41"/>
      <c r="I74" s="41"/>
    </row>
    <row r="75" spans="2:9" ht="13.5">
      <c r="B75" s="15"/>
      <c r="C75" s="16"/>
      <c r="D75" s="16"/>
      <c r="E75" s="16"/>
      <c r="F75" s="16"/>
      <c r="H75" s="25"/>
      <c r="I75" s="26"/>
    </row>
    <row r="76" spans="2:9" ht="13.5">
      <c r="B76" s="12"/>
      <c r="C76" s="56"/>
      <c r="D76" s="56"/>
      <c r="E76" s="56"/>
      <c r="F76" s="56"/>
      <c r="G76" s="41"/>
      <c r="H76" s="41"/>
      <c r="I76" s="41"/>
    </row>
    <row r="77" spans="2:9" ht="13.5">
      <c r="B77" s="12"/>
      <c r="C77" s="56"/>
      <c r="D77" s="56"/>
      <c r="E77" s="56"/>
      <c r="F77" s="56"/>
      <c r="G77" s="41"/>
      <c r="H77" s="41"/>
      <c r="I77" s="41"/>
    </row>
    <row r="78" spans="2:9" ht="13.5">
      <c r="B78" s="14"/>
      <c r="C78" s="56"/>
      <c r="D78" s="56"/>
      <c r="E78" s="56"/>
      <c r="F78" s="56"/>
      <c r="G78" s="41"/>
      <c r="H78" s="41"/>
      <c r="I78" s="41"/>
    </row>
    <row r="79" spans="1:9" ht="13.5">
      <c r="A79" s="17"/>
      <c r="B79" s="14"/>
      <c r="C79" s="38"/>
      <c r="D79" s="38"/>
      <c r="E79" s="56"/>
      <c r="F79" s="56"/>
      <c r="G79" s="41"/>
      <c r="H79" s="41"/>
      <c r="I79" s="41"/>
    </row>
    <row r="80" spans="2:9" ht="13.5">
      <c r="B80" s="14"/>
      <c r="C80" s="31"/>
      <c r="D80" s="38"/>
      <c r="E80" s="38"/>
      <c r="F80" s="38"/>
      <c r="G80" s="35"/>
      <c r="H80" s="35"/>
      <c r="I80" s="35"/>
    </row>
    <row r="81" spans="2:9" ht="13.5">
      <c r="B81" s="10"/>
      <c r="C81" s="31"/>
      <c r="D81" s="38"/>
      <c r="E81" s="38"/>
      <c r="F81" s="38"/>
      <c r="G81" s="35"/>
      <c r="H81" s="35"/>
      <c r="I81" s="35"/>
    </row>
    <row r="82" spans="2:9" ht="13.5">
      <c r="B82" s="10"/>
      <c r="C82" s="37"/>
      <c r="D82" s="38"/>
      <c r="E82" s="38"/>
      <c r="F82" s="38"/>
      <c r="G82" s="35"/>
      <c r="H82" s="35"/>
      <c r="I82" s="35"/>
    </row>
    <row r="83" spans="2:9" ht="13.5">
      <c r="B83" s="10"/>
      <c r="C83" s="34"/>
      <c r="D83" s="38"/>
      <c r="E83" s="38"/>
      <c r="F83" s="38"/>
      <c r="G83" s="35"/>
      <c r="H83" s="35"/>
      <c r="I83" s="35"/>
    </row>
    <row r="84" spans="2:9" ht="13.5">
      <c r="B84" s="35"/>
      <c r="C84" s="36"/>
      <c r="D84" s="38"/>
      <c r="E84" s="38"/>
      <c r="F84" s="38"/>
      <c r="G84" s="35"/>
      <c r="H84" s="35"/>
      <c r="I84" s="35"/>
    </row>
    <row r="85" spans="2:9" ht="13.5">
      <c r="B85" s="10"/>
      <c r="C85" s="37"/>
      <c r="D85" s="38"/>
      <c r="E85" s="38"/>
      <c r="F85" s="38"/>
      <c r="G85" s="35"/>
      <c r="H85" s="35"/>
      <c r="I85" s="35"/>
    </row>
    <row r="86" spans="2:9" ht="13.5">
      <c r="B86" s="10"/>
      <c r="C86" s="37"/>
      <c r="D86" s="38"/>
      <c r="E86" s="38"/>
      <c r="F86" s="38"/>
      <c r="G86" s="35"/>
      <c r="H86" s="35"/>
      <c r="I86" s="35"/>
    </row>
    <row r="87" spans="2:9" ht="13.5">
      <c r="B87" s="10"/>
      <c r="C87" s="37"/>
      <c r="E87" s="35"/>
      <c r="I87" s="41"/>
    </row>
    <row r="88" spans="2:9" ht="13.5">
      <c r="B88" s="35"/>
      <c r="C88" s="41"/>
      <c r="I88" s="41"/>
    </row>
    <row r="89" spans="2:9" ht="13.5">
      <c r="B89" s="35"/>
      <c r="C89" s="41"/>
      <c r="I89" s="41"/>
    </row>
    <row r="90" spans="2:9" ht="13.5">
      <c r="B90" s="10"/>
      <c r="C90" s="37"/>
      <c r="I90" s="41"/>
    </row>
    <row r="91" spans="2:9" ht="13.5">
      <c r="B91" s="10"/>
      <c r="C91" s="37"/>
      <c r="I91" s="41"/>
    </row>
    <row r="92" spans="1:9" ht="13.5">
      <c r="A92" s="17"/>
      <c r="B92" s="10"/>
      <c r="C92" s="37"/>
      <c r="I92" s="41"/>
    </row>
    <row r="93" spans="2:9" ht="13.5">
      <c r="B93" s="14"/>
      <c r="C93" s="37"/>
      <c r="I93" s="41"/>
    </row>
    <row r="94" spans="2:9" ht="13.5">
      <c r="B94" s="14"/>
      <c r="C94" s="37"/>
      <c r="I94" s="41"/>
    </row>
    <row r="95" spans="2:9" ht="13.5">
      <c r="B95" s="10"/>
      <c r="C95" s="37"/>
      <c r="I95" s="41"/>
    </row>
    <row r="96" spans="1:9" ht="13.5">
      <c r="A96" s="17"/>
      <c r="B96" s="14"/>
      <c r="C96" s="41"/>
      <c r="I96" s="41"/>
    </row>
    <row r="97" spans="2:9" ht="13.5">
      <c r="B97" s="10"/>
      <c r="C97" s="41"/>
      <c r="D97" s="35"/>
      <c r="E97" s="35"/>
      <c r="I97" s="41"/>
    </row>
    <row r="98" spans="1:9" ht="13.5">
      <c r="A98" s="8"/>
      <c r="B98" s="15"/>
      <c r="C98" s="39"/>
      <c r="D98" s="40"/>
      <c r="E98" s="35"/>
      <c r="I98" s="41"/>
    </row>
    <row r="99" spans="2:9" ht="13.5">
      <c r="B99" s="14"/>
      <c r="C99" s="56"/>
      <c r="D99" s="57"/>
      <c r="E99" s="35"/>
      <c r="I99" s="41"/>
    </row>
    <row r="100" spans="2:9" ht="13.5">
      <c r="B100" s="14"/>
      <c r="C100" s="38"/>
      <c r="D100" s="38"/>
      <c r="I100" s="41"/>
    </row>
    <row r="101" spans="2:9" ht="13.5">
      <c r="B101" s="14"/>
      <c r="C101" s="38"/>
      <c r="D101" s="38"/>
      <c r="E101" s="35"/>
      <c r="I101" s="41"/>
    </row>
    <row r="102" spans="2:9" ht="13.5">
      <c r="B102" s="14"/>
      <c r="C102" s="35"/>
      <c r="E102" s="27"/>
      <c r="I102" s="41"/>
    </row>
    <row r="103" spans="2:9" ht="13.5">
      <c r="B103" s="14"/>
      <c r="C103" s="41"/>
      <c r="D103" s="56"/>
      <c r="E103" s="35"/>
      <c r="I103" s="41"/>
    </row>
    <row r="104" spans="2:9" ht="13.5">
      <c r="B104" s="14"/>
      <c r="C104" s="35"/>
      <c r="D104" s="35"/>
      <c r="E104" s="41"/>
      <c r="I104" s="41"/>
    </row>
    <row r="105" spans="2:9" ht="13.5">
      <c r="B105" s="14"/>
      <c r="C105" s="41"/>
      <c r="D105" s="35"/>
      <c r="E105" s="41"/>
      <c r="I105" s="41"/>
    </row>
    <row r="106" spans="2:9" ht="13.5">
      <c r="B106" s="14"/>
      <c r="C106" s="35"/>
      <c r="I106" s="41"/>
    </row>
    <row r="107" spans="2:3" ht="13.5">
      <c r="B107" s="14"/>
      <c r="C107" s="41"/>
    </row>
    <row r="108" spans="1:3" ht="13.5">
      <c r="A108" s="17"/>
      <c r="B108" s="14"/>
      <c r="C108" s="41"/>
    </row>
    <row r="109" spans="2:6" ht="13.5">
      <c r="B109" s="14"/>
      <c r="C109" s="16"/>
      <c r="D109" s="16"/>
      <c r="E109" s="16"/>
      <c r="F109" s="16"/>
    </row>
    <row r="110" spans="2:6" ht="13.5">
      <c r="B110" s="14"/>
      <c r="C110" s="38"/>
      <c r="D110" s="56"/>
      <c r="E110" s="56"/>
      <c r="F110" s="56"/>
    </row>
    <row r="111" spans="2:3" ht="13.5">
      <c r="B111" s="14"/>
      <c r="C111" s="35"/>
    </row>
    <row r="112" spans="2:3" ht="13.5">
      <c r="B112" s="14"/>
      <c r="C112" s="35"/>
    </row>
    <row r="113" spans="2:4" ht="13.5">
      <c r="B113" s="14"/>
      <c r="C113" s="41"/>
      <c r="D113" s="41"/>
    </row>
    <row r="114" ht="13.5">
      <c r="B114" s="14"/>
    </row>
    <row r="115" spans="2:3" ht="13.5">
      <c r="B115" s="14"/>
      <c r="C115" s="35"/>
    </row>
    <row r="116" spans="2:3" ht="13.5">
      <c r="B116" s="14"/>
      <c r="C116" s="41"/>
    </row>
    <row r="117" ht="13.5">
      <c r="C117" s="41"/>
    </row>
    <row r="119" ht="13.5">
      <c r="C119" s="41"/>
    </row>
    <row r="120" ht="13.5">
      <c r="C120" s="41"/>
    </row>
    <row r="121" ht="13.5">
      <c r="C121" s="35"/>
    </row>
    <row r="123" ht="13.5">
      <c r="C123" s="41"/>
    </row>
    <row r="124" ht="13.5">
      <c r="C124" s="41"/>
    </row>
    <row r="125" ht="13.5">
      <c r="C125" s="41"/>
    </row>
    <row r="127" ht="13.5">
      <c r="C127" s="41"/>
    </row>
    <row r="128" ht="13.5">
      <c r="C128" s="41"/>
    </row>
    <row r="129" ht="13.5">
      <c r="C129" s="35"/>
    </row>
    <row r="131" ht="13.5">
      <c r="C131" s="41"/>
    </row>
    <row r="132" ht="13.5">
      <c r="C132" s="41"/>
    </row>
    <row r="133" ht="13.5">
      <c r="C133" s="41"/>
    </row>
  </sheetData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50"/>
  <sheetViews>
    <sheetView tabSelected="1" zoomScale="110" zoomScaleNormal="110" workbookViewId="0" topLeftCell="A100">
      <selection activeCell="E150" sqref="E150"/>
    </sheetView>
  </sheetViews>
  <sheetFormatPr defaultColWidth="11.00390625" defaultRowHeight="12.75"/>
  <cols>
    <col min="1" max="1" width="4.25390625" style="45" customWidth="1"/>
    <col min="2" max="2" width="11.25390625" style="43" customWidth="1"/>
    <col min="3" max="7" width="15.125" style="43" customWidth="1"/>
    <col min="8" max="8" width="12.25390625" style="43" customWidth="1"/>
    <col min="9" max="11" width="11.25390625" style="43" customWidth="1"/>
    <col min="12" max="16384" width="10.75390625" style="43" customWidth="1"/>
  </cols>
  <sheetData>
    <row r="1" ht="15" thickBot="1">
      <c r="A1" s="48" t="s">
        <v>207</v>
      </c>
    </row>
    <row r="2" spans="1:8" ht="27.75">
      <c r="A2" s="12" t="s">
        <v>274</v>
      </c>
      <c r="B2" s="51" t="s">
        <v>120</v>
      </c>
      <c r="C2" s="51" t="s">
        <v>11</v>
      </c>
      <c r="D2" s="464" t="s">
        <v>12</v>
      </c>
      <c r="E2" s="465" t="s">
        <v>13</v>
      </c>
      <c r="F2" s="51" t="s">
        <v>10</v>
      </c>
      <c r="G2" s="464" t="s">
        <v>121</v>
      </c>
      <c r="H2" s="473" t="s">
        <v>0</v>
      </c>
    </row>
    <row r="3" spans="2:13" ht="15.75">
      <c r="B3" s="423" t="s">
        <v>2</v>
      </c>
      <c r="C3" s="427">
        <v>20</v>
      </c>
      <c r="D3" s="466">
        <v>17</v>
      </c>
      <c r="E3" s="467">
        <v>1</v>
      </c>
      <c r="F3" s="427">
        <v>10</v>
      </c>
      <c r="G3" s="483">
        <f>SUM(C3:F3)</f>
        <v>48</v>
      </c>
      <c r="H3" s="475" t="s">
        <v>1</v>
      </c>
      <c r="J3" s="428"/>
      <c r="K3" s="428"/>
      <c r="L3" s="428"/>
      <c r="M3" s="428"/>
    </row>
    <row r="4" spans="2:13" ht="15.75">
      <c r="B4" s="425" t="s">
        <v>3</v>
      </c>
      <c r="C4" s="426">
        <f>C3*C6</f>
        <v>56</v>
      </c>
      <c r="D4" s="468">
        <f>D3*D6</f>
        <v>45.900000000000006</v>
      </c>
      <c r="E4" s="469">
        <f>E3*E6</f>
        <v>3</v>
      </c>
      <c r="F4" s="426">
        <f>F3*F6</f>
        <v>12</v>
      </c>
      <c r="G4" s="474">
        <f>SUM(C4:F4)</f>
        <v>116.9</v>
      </c>
      <c r="H4" s="475" t="s">
        <v>15</v>
      </c>
      <c r="J4" s="58"/>
      <c r="K4" s="58"/>
      <c r="L4" s="58"/>
      <c r="M4" s="58"/>
    </row>
    <row r="5" spans="1:8" ht="15.75">
      <c r="A5" s="47"/>
      <c r="B5" s="425" t="s">
        <v>4</v>
      </c>
      <c r="C5" s="424">
        <f>C4^2/C3</f>
        <v>156.8</v>
      </c>
      <c r="D5" s="470">
        <f>D4^2/D3</f>
        <v>123.93000000000002</v>
      </c>
      <c r="E5" s="471">
        <f>E4^2/E3</f>
        <v>9</v>
      </c>
      <c r="F5" s="424">
        <f>F4^2/F3</f>
        <v>14.4</v>
      </c>
      <c r="G5" s="474">
        <f>SUM(C5:F5)</f>
        <v>304.13</v>
      </c>
      <c r="H5" s="476" t="s">
        <v>105</v>
      </c>
    </row>
    <row r="6" spans="2:8" ht="15">
      <c r="B6" s="425" t="s">
        <v>9</v>
      </c>
      <c r="C6" s="426">
        <v>2.8</v>
      </c>
      <c r="D6" s="468">
        <v>2.7</v>
      </c>
      <c r="E6" s="469">
        <v>3</v>
      </c>
      <c r="F6" s="426">
        <v>1.2</v>
      </c>
      <c r="G6" s="477" t="s">
        <v>386</v>
      </c>
      <c r="H6" s="478" t="s">
        <v>387</v>
      </c>
    </row>
    <row r="7" spans="1:8" ht="15.75">
      <c r="A7" s="47"/>
      <c r="B7" s="422" t="s">
        <v>8</v>
      </c>
      <c r="C7" s="424">
        <f>C8+C4^2/C3</f>
        <v>156.99</v>
      </c>
      <c r="D7" s="470">
        <f>D8+D4^2/D3</f>
        <v>125.37000000000002</v>
      </c>
      <c r="E7" s="471">
        <f>E6^2</f>
        <v>9</v>
      </c>
      <c r="F7" s="424">
        <f>F8+F4^2/F3</f>
        <v>14.76</v>
      </c>
      <c r="G7" s="474">
        <f>SUM(C7:F7)</f>
        <v>306.12</v>
      </c>
      <c r="H7" s="476" t="s">
        <v>19</v>
      </c>
    </row>
    <row r="8" spans="2:8" ht="15.75">
      <c r="B8" s="425" t="s">
        <v>5</v>
      </c>
      <c r="C8" s="424">
        <f>C11*C9</f>
        <v>0.19000000000000003</v>
      </c>
      <c r="D8" s="470">
        <f>D11*D9</f>
        <v>1.44</v>
      </c>
      <c r="E8" s="467">
        <v>0</v>
      </c>
      <c r="F8" s="424">
        <f>F11*F9</f>
        <v>0.3600000000000001</v>
      </c>
      <c r="G8" s="474">
        <f>SUM(C8:F8)</f>
        <v>1.99</v>
      </c>
      <c r="H8" s="475" t="s">
        <v>16</v>
      </c>
    </row>
    <row r="9" spans="2:8" ht="15.75">
      <c r="B9" s="425" t="s">
        <v>6</v>
      </c>
      <c r="C9" s="429">
        <f>C3-1</f>
        <v>19</v>
      </c>
      <c r="D9" s="466">
        <f>D3-1</f>
        <v>16</v>
      </c>
      <c r="E9" s="467">
        <f>E3-1</f>
        <v>0</v>
      </c>
      <c r="F9" s="429">
        <f>F3-1</f>
        <v>9</v>
      </c>
      <c r="G9" s="479">
        <f>SUM(C9:F9)</f>
        <v>44</v>
      </c>
      <c r="H9" s="475" t="s">
        <v>17</v>
      </c>
    </row>
    <row r="10" spans="2:8" ht="15.75">
      <c r="B10" s="425" t="s">
        <v>14</v>
      </c>
      <c r="C10" s="424">
        <v>0.1</v>
      </c>
      <c r="D10" s="559">
        <v>0.3</v>
      </c>
      <c r="E10" s="471" t="s">
        <v>153</v>
      </c>
      <c r="F10" s="424">
        <v>0.2</v>
      </c>
      <c r="G10" s="480" t="s">
        <v>18</v>
      </c>
      <c r="H10" s="478" t="s">
        <v>387</v>
      </c>
    </row>
    <row r="11" spans="2:8" ht="16.5" thickBot="1">
      <c r="B11" s="425" t="s">
        <v>7</v>
      </c>
      <c r="C11" s="561">
        <f>C10^2</f>
        <v>0.010000000000000002</v>
      </c>
      <c r="D11" s="560">
        <f>D10^2</f>
        <v>0.09</v>
      </c>
      <c r="E11" s="472" t="s">
        <v>153</v>
      </c>
      <c r="F11" s="424">
        <f>F10^2</f>
        <v>0.04000000000000001</v>
      </c>
      <c r="G11" s="481" t="s">
        <v>18</v>
      </c>
      <c r="H11" s="482" t="s">
        <v>387</v>
      </c>
    </row>
    <row r="12" spans="2:8" ht="13.5">
      <c r="B12" s="42"/>
      <c r="D12" s="44"/>
      <c r="H12" s="52"/>
    </row>
    <row r="13" spans="2:8" ht="13.5">
      <c r="B13" s="52"/>
      <c r="C13" s="52"/>
      <c r="D13" s="42"/>
      <c r="H13" s="52"/>
    </row>
    <row r="14" ht="13.5">
      <c r="B14" s="55"/>
    </row>
    <row r="15" spans="2:3" ht="15" thickBot="1">
      <c r="B15" s="55"/>
      <c r="C15" s="52"/>
    </row>
    <row r="16" spans="1:8" ht="13.5">
      <c r="A16" s="45" t="s">
        <v>26</v>
      </c>
      <c r="B16" s="484" t="s">
        <v>20</v>
      </c>
      <c r="C16" s="485"/>
      <c r="D16" s="485"/>
      <c r="E16" s="485"/>
      <c r="F16" s="485"/>
      <c r="G16" s="485"/>
      <c r="H16" s="486"/>
    </row>
    <row r="17" spans="2:8" s="58" customFormat="1" ht="13.5">
      <c r="B17" s="487" t="s">
        <v>21</v>
      </c>
      <c r="C17" s="432" t="s">
        <v>22</v>
      </c>
      <c r="D17" s="433" t="s">
        <v>54</v>
      </c>
      <c r="E17" s="433" t="s">
        <v>447</v>
      </c>
      <c r="F17" s="433" t="s">
        <v>23</v>
      </c>
      <c r="G17" s="433" t="s">
        <v>24</v>
      </c>
      <c r="H17" s="488" t="s">
        <v>25</v>
      </c>
    </row>
    <row r="18" spans="2:8" s="58" customFormat="1" ht="13.5">
      <c r="B18" s="489" t="s">
        <v>338</v>
      </c>
      <c r="C18" s="431">
        <v>3</v>
      </c>
      <c r="D18" s="434">
        <f>G5-G4^2/G3</f>
        <v>19.42979166666663</v>
      </c>
      <c r="E18" s="434">
        <f>D18/C18</f>
        <v>6.47659722222221</v>
      </c>
      <c r="F18" s="434">
        <f>E18/E20</f>
        <v>14.211159201802582</v>
      </c>
      <c r="G18" s="434">
        <f>FINV(0.05,C18,C19)</f>
        <v>2.816465826940343</v>
      </c>
      <c r="H18" s="490" t="str">
        <f>IF(F18&gt;G18,"Reject H0","Don't Reject H0")</f>
        <v>Reject H0</v>
      </c>
    </row>
    <row r="19" spans="2:8" s="58" customFormat="1" ht="13.5">
      <c r="B19" s="489" t="s">
        <v>449</v>
      </c>
      <c r="C19" s="431">
        <f>G9</f>
        <v>44</v>
      </c>
      <c r="D19" s="434">
        <f>G7-G5</f>
        <v>1.990000000000009</v>
      </c>
      <c r="E19" s="434">
        <f>D19/C19</f>
        <v>0.045227272727272935</v>
      </c>
      <c r="F19" s="434"/>
      <c r="G19" s="434"/>
      <c r="H19" s="490"/>
    </row>
    <row r="20" spans="2:8" s="49" customFormat="1" ht="15" thickBot="1">
      <c r="B20" s="491" t="s">
        <v>171</v>
      </c>
      <c r="C20" s="492">
        <f>C18+C19</f>
        <v>47</v>
      </c>
      <c r="D20" s="493">
        <f>D18+D19</f>
        <v>21.41979166666664</v>
      </c>
      <c r="E20" s="493">
        <f>D20/C20</f>
        <v>0.4557402482269498</v>
      </c>
      <c r="F20" s="493"/>
      <c r="G20" s="493"/>
      <c r="H20" s="494"/>
    </row>
    <row r="21" ht="15" thickBot="1">
      <c r="B21" s="55"/>
    </row>
    <row r="22" spans="1:9" ht="15.75">
      <c r="A22" s="45" t="s">
        <v>233</v>
      </c>
      <c r="B22" s="495" t="s">
        <v>27</v>
      </c>
      <c r="C22" s="496" t="s">
        <v>28</v>
      </c>
      <c r="D22" s="497" t="s">
        <v>32</v>
      </c>
      <c r="E22" s="497" t="s">
        <v>33</v>
      </c>
      <c r="F22" s="496" t="s">
        <v>29</v>
      </c>
      <c r="G22" s="498" t="s">
        <v>388</v>
      </c>
      <c r="H22" s="433" t="s">
        <v>30</v>
      </c>
      <c r="I22" s="433" t="s">
        <v>31</v>
      </c>
    </row>
    <row r="23" spans="2:9" ht="15" thickBot="1">
      <c r="B23" s="499">
        <f>C6</f>
        <v>2.8</v>
      </c>
      <c r="C23" s="500">
        <v>0.8</v>
      </c>
      <c r="D23" s="501">
        <f>E19</f>
        <v>0.045227272727272935</v>
      </c>
      <c r="E23" s="501">
        <f>SQRT(D23/C3)</f>
        <v>0.04755379728648015</v>
      </c>
      <c r="F23" s="501">
        <f>TINV(1-C23,C19)</f>
        <v>1.301090059674451</v>
      </c>
      <c r="G23" s="503">
        <f>F23*E23</f>
        <v>0.0618717729492132</v>
      </c>
      <c r="H23" s="434">
        <f>B23-G23</f>
        <v>2.7381282270507867</v>
      </c>
      <c r="I23" s="58">
        <f>B23+G23</f>
        <v>2.861871772949213</v>
      </c>
    </row>
    <row r="24" spans="2:8" ht="15" thickBot="1">
      <c r="B24" s="53"/>
      <c r="C24" s="54"/>
      <c r="D24" s="53"/>
      <c r="E24" s="50"/>
      <c r="F24" s="54"/>
      <c r="G24" s="54"/>
      <c r="H24" s="54"/>
    </row>
    <row r="25" spans="1:9" ht="15.75">
      <c r="A25" s="45" t="s">
        <v>34</v>
      </c>
      <c r="B25" s="495" t="s">
        <v>27</v>
      </c>
      <c r="C25" s="496" t="s">
        <v>28</v>
      </c>
      <c r="D25" s="497" t="s">
        <v>32</v>
      </c>
      <c r="E25" s="497" t="s">
        <v>33</v>
      </c>
      <c r="F25" s="496" t="s">
        <v>29</v>
      </c>
      <c r="G25" s="498" t="s">
        <v>388</v>
      </c>
      <c r="H25" s="433" t="s">
        <v>30</v>
      </c>
      <c r="I25" s="433" t="s">
        <v>31</v>
      </c>
    </row>
    <row r="26" spans="2:9" ht="15" thickBot="1">
      <c r="B26" s="499">
        <f>C6</f>
        <v>2.8</v>
      </c>
      <c r="C26" s="500">
        <v>0.8</v>
      </c>
      <c r="D26" s="501">
        <f>C11</f>
        <v>0.010000000000000002</v>
      </c>
      <c r="E26" s="501">
        <f>SQRT(D26/C3)</f>
        <v>0.0223606797749979</v>
      </c>
      <c r="F26" s="501">
        <f>TINV(1-C26,C9)</f>
        <v>1.3277282090895812</v>
      </c>
      <c r="G26" s="503">
        <f>F26*E26</f>
        <v>0.029688905311683583</v>
      </c>
      <c r="H26" s="54">
        <f>B26-G26</f>
        <v>2.7703110946883163</v>
      </c>
      <c r="I26" s="58">
        <f>B26+G26</f>
        <v>2.8296889053116834</v>
      </c>
    </row>
    <row r="27" ht="13.5">
      <c r="B27" s="52"/>
    </row>
    <row r="28" spans="1:3" ht="13.5">
      <c r="A28" s="45" t="s">
        <v>152</v>
      </c>
      <c r="B28" s="46" t="s">
        <v>95</v>
      </c>
      <c r="C28" s="436">
        <f>F9+C9</f>
        <v>28</v>
      </c>
    </row>
    <row r="29" spans="2:3" ht="13.5">
      <c r="B29" s="45" t="s">
        <v>96</v>
      </c>
      <c r="C29" s="563">
        <f>F8+C8</f>
        <v>0.5500000000000002</v>
      </c>
    </row>
    <row r="30" spans="2:8" ht="15">
      <c r="B30" s="425" t="s">
        <v>94</v>
      </c>
      <c r="C30" s="562">
        <f>C29/C28</f>
        <v>0.01964285714285715</v>
      </c>
      <c r="D30" s="52"/>
      <c r="H30" s="52"/>
    </row>
    <row r="31" spans="2:8" ht="15.75">
      <c r="B31" s="46" t="s">
        <v>44</v>
      </c>
      <c r="C31" s="430">
        <f>C6-F6</f>
        <v>1.5999999999999999</v>
      </c>
      <c r="D31" s="52"/>
      <c r="H31" s="52"/>
    </row>
    <row r="32" spans="2:8" ht="16.5" thickBot="1">
      <c r="B32" s="425" t="s">
        <v>45</v>
      </c>
      <c r="C32" s="435">
        <f>SQRT(C30/F3+C30/C3)</f>
        <v>0.05428101483418095</v>
      </c>
      <c r="H32" s="52"/>
    </row>
    <row r="33" spans="2:3" s="51" customFormat="1" ht="13.5">
      <c r="B33" s="504" t="s">
        <v>97</v>
      </c>
      <c r="C33" s="505">
        <f>C31/C32</f>
        <v>29.476235934197643</v>
      </c>
    </row>
    <row r="34" spans="1:7" ht="13.5">
      <c r="A34" s="47"/>
      <c r="B34" s="506" t="s">
        <v>98</v>
      </c>
      <c r="C34" s="507">
        <f>TINV(0.05,C28)</f>
        <v>2.0484071146628864</v>
      </c>
      <c r="D34" s="54"/>
      <c r="E34" s="54"/>
      <c r="F34" s="54"/>
      <c r="G34" s="54"/>
    </row>
    <row r="35" spans="2:7" ht="15" thickBot="1">
      <c r="B35" s="508" t="s">
        <v>99</v>
      </c>
      <c r="C35" s="509" t="str">
        <f>IF(C33&gt;C34,"Reject H0","Don't Reject H0")</f>
        <v>Reject H0</v>
      </c>
      <c r="D35" s="54"/>
      <c r="E35" s="54"/>
      <c r="F35" s="54"/>
      <c r="G35" s="54"/>
    </row>
    <row r="36" spans="2:7" ht="15" thickBot="1">
      <c r="B36" s="52"/>
      <c r="C36" s="54"/>
      <c r="D36" s="54"/>
      <c r="E36" s="54"/>
      <c r="F36" s="54"/>
      <c r="G36" s="54"/>
    </row>
    <row r="37" spans="1:9" ht="15.75">
      <c r="A37" s="45" t="s">
        <v>100</v>
      </c>
      <c r="B37" s="495" t="s">
        <v>46</v>
      </c>
      <c r="C37" s="496" t="s">
        <v>28</v>
      </c>
      <c r="D37" s="497" t="s">
        <v>47</v>
      </c>
      <c r="E37" s="497" t="s">
        <v>48</v>
      </c>
      <c r="F37" s="496" t="s">
        <v>29</v>
      </c>
      <c r="G37" s="496" t="s">
        <v>388</v>
      </c>
      <c r="H37" s="496" t="s">
        <v>30</v>
      </c>
      <c r="I37" s="498" t="s">
        <v>31</v>
      </c>
    </row>
    <row r="38" spans="2:9" ht="15" thickBot="1">
      <c r="B38" s="499">
        <f>C31</f>
        <v>1.5999999999999999</v>
      </c>
      <c r="C38" s="500">
        <v>0.95</v>
      </c>
      <c r="D38" s="501">
        <f>C32^2</f>
        <v>0.002946428571428572</v>
      </c>
      <c r="E38" s="501">
        <f>SQRT(D38)</f>
        <v>0.05428101483418095</v>
      </c>
      <c r="F38" s="501">
        <f>TINV(1-C38,C28)</f>
        <v>2.0484071146628864</v>
      </c>
      <c r="G38" s="501">
        <f>F38*E38</f>
        <v>0.11118961697745793</v>
      </c>
      <c r="H38" s="501">
        <f>B38-G38</f>
        <v>1.4888103830225419</v>
      </c>
      <c r="I38" s="564">
        <f>B38+G38</f>
        <v>1.7111896169774579</v>
      </c>
    </row>
    <row r="39" spans="1:3" ht="15" thickBot="1">
      <c r="A39" s="48"/>
      <c r="B39" s="59"/>
      <c r="C39" s="59"/>
    </row>
    <row r="40" spans="1:9" ht="15.75">
      <c r="A40" s="45" t="s">
        <v>101</v>
      </c>
      <c r="B40" s="495" t="s">
        <v>27</v>
      </c>
      <c r="C40" s="496" t="s">
        <v>28</v>
      </c>
      <c r="D40" s="510" t="s">
        <v>102</v>
      </c>
      <c r="E40" s="510" t="s">
        <v>389</v>
      </c>
      <c r="F40" s="496" t="s">
        <v>103</v>
      </c>
      <c r="G40" s="498" t="s">
        <v>388</v>
      </c>
      <c r="H40" s="433" t="s">
        <v>30</v>
      </c>
      <c r="I40" s="433" t="s">
        <v>31</v>
      </c>
    </row>
    <row r="41" spans="2:9" ht="15" thickBot="1">
      <c r="B41" s="499">
        <f>E6</f>
        <v>3</v>
      </c>
      <c r="C41" s="500">
        <v>0.8</v>
      </c>
      <c r="D41" s="501">
        <v>0.04</v>
      </c>
      <c r="E41" s="511">
        <f>SQRT(D41/E3)</f>
        <v>0.2</v>
      </c>
      <c r="F41" s="501">
        <f>-NORMSINV((1-C41)/2)</f>
        <v>1.2815515655446008</v>
      </c>
      <c r="G41" s="503">
        <f>F41*E41</f>
        <v>0.25631031310892016</v>
      </c>
      <c r="H41" s="54">
        <f>B41-G41</f>
        <v>2.74368968689108</v>
      </c>
      <c r="I41" s="58">
        <f>B41+G41</f>
        <v>3.25631031310892</v>
      </c>
    </row>
    <row r="42" spans="2:3" ht="15" thickBot="1">
      <c r="B42" s="60"/>
      <c r="C42" s="59"/>
    </row>
    <row r="43" spans="1:8" ht="15.75">
      <c r="A43" s="45" t="s">
        <v>104</v>
      </c>
      <c r="B43" s="438" t="s">
        <v>390</v>
      </c>
      <c r="C43" s="438" t="s">
        <v>391</v>
      </c>
      <c r="D43" s="250" t="s">
        <v>49</v>
      </c>
      <c r="E43" s="250" t="s">
        <v>50</v>
      </c>
      <c r="F43" s="495" t="s">
        <v>291</v>
      </c>
      <c r="G43" s="496" t="s">
        <v>448</v>
      </c>
      <c r="H43" s="498" t="s">
        <v>129</v>
      </c>
    </row>
    <row r="44" spans="2:8" ht="15" thickBot="1">
      <c r="B44" s="437">
        <f>F9</f>
        <v>9</v>
      </c>
      <c r="C44" s="437">
        <f>C9</f>
        <v>19</v>
      </c>
      <c r="D44" s="58">
        <f>F11</f>
        <v>0.04000000000000001</v>
      </c>
      <c r="E44" s="58">
        <f>C11</f>
        <v>0.010000000000000002</v>
      </c>
      <c r="F44" s="512">
        <f>D44/E44</f>
        <v>4</v>
      </c>
      <c r="G44" s="513">
        <f>FINV(0.025,B44,C44)</f>
        <v>2.880052046811387</v>
      </c>
      <c r="H44" s="503" t="str">
        <f>IF(F44&gt;G44,"Reject H0","Don't Reject H0")</f>
        <v>Reject H0</v>
      </c>
    </row>
    <row r="45" spans="2:3" ht="15" thickBot="1">
      <c r="B45" s="46"/>
      <c r="C45" s="54"/>
    </row>
    <row r="46" spans="1:3" ht="15.75" thickBot="1">
      <c r="A46" s="45" t="s">
        <v>230</v>
      </c>
      <c r="B46" s="565" t="s">
        <v>213</v>
      </c>
      <c r="C46" s="543">
        <f>(D18-C18*D19)/(D20+E20)</f>
        <v>0.6152898004506455</v>
      </c>
    </row>
    <row r="47" ht="13.5">
      <c r="B47" s="55"/>
    </row>
    <row r="48" ht="15" thickBot="1">
      <c r="B48" s="55"/>
    </row>
    <row r="49" spans="1:6" ht="13.5">
      <c r="A49" s="47" t="s">
        <v>241</v>
      </c>
      <c r="B49" s="484" t="s">
        <v>393</v>
      </c>
      <c r="C49" s="485"/>
      <c r="D49" s="485"/>
      <c r="E49" s="485"/>
      <c r="F49" s="486"/>
    </row>
    <row r="50" spans="2:6" ht="13.5">
      <c r="B50" s="514"/>
      <c r="C50" s="441" t="s">
        <v>328</v>
      </c>
      <c r="D50" s="441" t="s">
        <v>329</v>
      </c>
      <c r="E50" s="441" t="s">
        <v>330</v>
      </c>
      <c r="F50" s="515" t="s">
        <v>392</v>
      </c>
    </row>
    <row r="51" spans="2:6" ht="13.5">
      <c r="B51" s="555" t="s">
        <v>331</v>
      </c>
      <c r="C51" s="442">
        <v>6</v>
      </c>
      <c r="D51" s="442">
        <v>6</v>
      </c>
      <c r="E51" s="442">
        <v>4</v>
      </c>
      <c r="F51" s="557">
        <v>36</v>
      </c>
    </row>
    <row r="52" spans="2:6" ht="13.5">
      <c r="B52" s="556"/>
      <c r="C52" s="443">
        <v>8</v>
      </c>
      <c r="D52" s="443">
        <v>8</v>
      </c>
      <c r="E52" s="443">
        <v>4</v>
      </c>
      <c r="F52" s="558"/>
    </row>
    <row r="53" spans="2:6" ht="13.5">
      <c r="B53" s="555" t="s">
        <v>329</v>
      </c>
      <c r="C53" s="442">
        <v>1</v>
      </c>
      <c r="D53" s="442">
        <v>1</v>
      </c>
      <c r="E53" s="442">
        <v>4</v>
      </c>
      <c r="F53" s="557">
        <v>12</v>
      </c>
    </row>
    <row r="54" spans="2:6" ht="13.5">
      <c r="B54" s="556"/>
      <c r="C54" s="443">
        <v>1</v>
      </c>
      <c r="D54" s="443">
        <v>1</v>
      </c>
      <c r="E54" s="443">
        <v>4</v>
      </c>
      <c r="F54" s="558"/>
    </row>
    <row r="55" spans="2:6" ht="15" thickBot="1">
      <c r="B55" s="516" t="s">
        <v>392</v>
      </c>
      <c r="C55" s="517">
        <v>16</v>
      </c>
      <c r="D55" s="517">
        <v>16</v>
      </c>
      <c r="E55" s="517">
        <v>16</v>
      </c>
      <c r="F55" s="518">
        <v>48</v>
      </c>
    </row>
    <row r="56" spans="2:5" ht="13.5">
      <c r="B56" s="45"/>
      <c r="C56" s="440"/>
      <c r="D56" s="440"/>
      <c r="E56" s="440"/>
    </row>
    <row r="57" spans="3:5" ht="13.5">
      <c r="C57" s="440"/>
      <c r="D57" s="440"/>
      <c r="E57" s="440"/>
    </row>
    <row r="58" spans="1:5" ht="13.5">
      <c r="A58" s="48" t="s">
        <v>423</v>
      </c>
      <c r="B58" s="43" t="s">
        <v>393</v>
      </c>
      <c r="C58" s="444"/>
      <c r="D58" s="444"/>
      <c r="E58" s="444"/>
    </row>
    <row r="59" spans="3:5" ht="15" thickBot="1">
      <c r="C59" s="444"/>
      <c r="D59" s="444"/>
      <c r="E59" s="444"/>
    </row>
    <row r="60" spans="2:5" ht="14.25">
      <c r="B60" s="519"/>
      <c r="C60" s="520"/>
      <c r="D60" s="520"/>
      <c r="E60" s="521"/>
    </row>
    <row r="61" spans="2:5" ht="14.25">
      <c r="B61" s="522"/>
      <c r="E61" s="523"/>
    </row>
    <row r="62" spans="2:5" ht="14.25">
      <c r="B62" s="522"/>
      <c r="E62" s="524"/>
    </row>
    <row r="63" spans="2:5" ht="14.25">
      <c r="B63" s="522"/>
      <c r="E63" s="524"/>
    </row>
    <row r="64" spans="2:5" ht="14.25">
      <c r="B64" s="522"/>
      <c r="E64" s="524"/>
    </row>
    <row r="65" spans="2:5" ht="14.25">
      <c r="B65" s="522"/>
      <c r="E65" s="524"/>
    </row>
    <row r="66" spans="2:5" ht="14.25">
      <c r="B66" s="522"/>
      <c r="E66" s="523"/>
    </row>
    <row r="67" spans="2:5" ht="14.25">
      <c r="B67" s="522"/>
      <c r="E67" s="523"/>
    </row>
    <row r="68" spans="2:5" ht="14.25">
      <c r="B68" s="522"/>
      <c r="E68" s="523"/>
    </row>
    <row r="69" spans="2:5" ht="14.25">
      <c r="B69" s="522"/>
      <c r="E69" s="523"/>
    </row>
    <row r="70" spans="2:5" ht="14.25">
      <c r="B70" s="522"/>
      <c r="E70" s="523"/>
    </row>
    <row r="71" spans="2:5" ht="14.25">
      <c r="B71" s="522"/>
      <c r="E71" s="523"/>
    </row>
    <row r="72" spans="2:5" ht="14.25">
      <c r="B72" s="522"/>
      <c r="E72" s="523"/>
    </row>
    <row r="73" spans="2:5" ht="14.25">
      <c r="B73" s="522"/>
      <c r="E73" s="523"/>
    </row>
    <row r="74" spans="2:5" ht="14.25">
      <c r="B74" s="522"/>
      <c r="E74" s="523"/>
    </row>
    <row r="75" spans="2:5" ht="14.25">
      <c r="B75" s="522"/>
      <c r="E75" s="523"/>
    </row>
    <row r="76" spans="2:5" ht="14.25">
      <c r="B76" s="522"/>
      <c r="E76" s="523"/>
    </row>
    <row r="77" spans="2:5" ht="14.25">
      <c r="B77" s="522"/>
      <c r="E77" s="523"/>
    </row>
    <row r="78" spans="2:5" ht="14.25">
      <c r="B78" s="522"/>
      <c r="E78" s="523"/>
    </row>
    <row r="79" spans="2:5" ht="14.25">
      <c r="B79" s="522"/>
      <c r="E79" s="523"/>
    </row>
    <row r="80" spans="2:5" ht="14.25">
      <c r="B80" s="522"/>
      <c r="E80" s="523"/>
    </row>
    <row r="81" spans="2:5" ht="14.25">
      <c r="B81" s="522"/>
      <c r="E81" s="523"/>
    </row>
    <row r="82" spans="2:5" ht="14.25">
      <c r="B82" s="522"/>
      <c r="E82" s="523"/>
    </row>
    <row r="83" spans="2:5" ht="14.25">
      <c r="B83" s="522"/>
      <c r="E83" s="523"/>
    </row>
    <row r="84" spans="2:5" ht="14.25">
      <c r="B84" s="522"/>
      <c r="E84" s="523"/>
    </row>
    <row r="85" spans="2:5" ht="15" thickBot="1">
      <c r="B85" s="525"/>
      <c r="C85" s="526"/>
      <c r="D85" s="526"/>
      <c r="E85" s="527"/>
    </row>
    <row r="88" spans="1:3" ht="13.5">
      <c r="A88" s="445" t="s">
        <v>394</v>
      </c>
      <c r="B88" s="45" t="s">
        <v>395</v>
      </c>
      <c r="C88" s="446">
        <v>3</v>
      </c>
    </row>
    <row r="89" spans="2:3" ht="13.5">
      <c r="B89" s="45" t="s">
        <v>396</v>
      </c>
      <c r="C89" s="446">
        <v>10</v>
      </c>
    </row>
    <row r="90" spans="2:3" ht="13.5">
      <c r="B90" s="45" t="s">
        <v>397</v>
      </c>
      <c r="C90" s="446">
        <v>20</v>
      </c>
    </row>
    <row r="91" spans="2:3" ht="15.75">
      <c r="B91" s="45" t="s">
        <v>398</v>
      </c>
      <c r="C91" s="446">
        <f>C89*C90</f>
        <v>200</v>
      </c>
    </row>
    <row r="92" spans="2:3" ht="15.75">
      <c r="B92" s="45" t="s">
        <v>400</v>
      </c>
      <c r="C92" s="446">
        <f>C88*C90</f>
        <v>60</v>
      </c>
    </row>
    <row r="93" spans="2:3" ht="13.5">
      <c r="B93" s="45" t="s">
        <v>399</v>
      </c>
      <c r="C93" s="446">
        <f>C88*C89*C90</f>
        <v>600</v>
      </c>
    </row>
    <row r="95" spans="2:6" ht="13.5">
      <c r="B95" s="446"/>
      <c r="C95" s="433" t="s">
        <v>401</v>
      </c>
      <c r="D95" s="433" t="s">
        <v>402</v>
      </c>
      <c r="E95" s="433" t="s">
        <v>403</v>
      </c>
      <c r="F95" s="457"/>
    </row>
    <row r="96" spans="2:6" ht="15.75">
      <c r="B96" s="447" t="s">
        <v>405</v>
      </c>
      <c r="C96" s="58">
        <v>6.8</v>
      </c>
      <c r="D96" s="58">
        <v>8.4</v>
      </c>
      <c r="E96" s="58">
        <v>3.4</v>
      </c>
      <c r="F96" s="58"/>
    </row>
    <row r="97" spans="2:7" ht="15.75">
      <c r="B97" s="447" t="s">
        <v>404</v>
      </c>
      <c r="C97" s="448">
        <f>C96*$C$91</f>
        <v>1360</v>
      </c>
      <c r="D97" s="448">
        <f>D96*$C$91</f>
        <v>1680</v>
      </c>
      <c r="E97" s="448">
        <f>E96*$C$91</f>
        <v>680</v>
      </c>
      <c r="F97" s="449">
        <f>SUM(C97:E97)</f>
        <v>3720</v>
      </c>
      <c r="G97" s="445" t="s">
        <v>80</v>
      </c>
    </row>
    <row r="98" spans="2:6" ht="13.5">
      <c r="B98" s="45"/>
      <c r="D98" s="58"/>
      <c r="E98" s="58"/>
      <c r="F98" s="58"/>
    </row>
    <row r="99" spans="2:6" ht="15">
      <c r="B99" s="163" t="s">
        <v>432</v>
      </c>
      <c r="C99" s="459">
        <f>(D108+(F97^2/C93))*C90</f>
        <v>753440</v>
      </c>
      <c r="F99" s="456">
        <f>C99/C90-F97^2/C93</f>
        <v>14608</v>
      </c>
    </row>
    <row r="100" spans="2:6" ht="15">
      <c r="B100" s="163" t="s">
        <v>157</v>
      </c>
      <c r="C100" s="460">
        <f>SUMSQ(C97:E97)</f>
        <v>5134400</v>
      </c>
      <c r="F100" s="456">
        <f>C100/C91-F97^2/C93</f>
        <v>2608</v>
      </c>
    </row>
    <row r="101" spans="2:6" ht="15">
      <c r="B101" s="163" t="s">
        <v>158</v>
      </c>
      <c r="C101" s="461">
        <f>(D110+(F97^2/C93))*C92</f>
        <v>1503840</v>
      </c>
      <c r="F101" s="456">
        <f>C101/C92-F97^2/C93</f>
        <v>2000</v>
      </c>
    </row>
    <row r="102" spans="2:6" ht="15">
      <c r="B102" s="163" t="s">
        <v>410</v>
      </c>
      <c r="C102" s="462">
        <f>D125+C99/C90</f>
        <v>66172</v>
      </c>
      <c r="D102" s="58"/>
      <c r="E102" s="58"/>
      <c r="F102" s="456">
        <f>F99-(F100+F101)</f>
        <v>10000</v>
      </c>
    </row>
    <row r="103" spans="2:6" ht="15" thickBot="1">
      <c r="B103" s="163"/>
      <c r="C103" s="462"/>
      <c r="D103" s="58"/>
      <c r="E103" s="58"/>
      <c r="F103" s="458">
        <f>C102-(C99/C90)</f>
        <v>28500</v>
      </c>
    </row>
    <row r="104" spans="1:6" ht="15.75" thickBot="1">
      <c r="A104" s="45" t="s">
        <v>274</v>
      </c>
      <c r="B104" s="528" t="s">
        <v>411</v>
      </c>
      <c r="C104" s="529" t="s">
        <v>412</v>
      </c>
      <c r="D104" s="530">
        <f>C102-F97^2/C93</f>
        <v>43108</v>
      </c>
      <c r="E104" s="58"/>
      <c r="F104" s="456"/>
    </row>
    <row r="105" ht="15" thickBot="1"/>
    <row r="106" spans="1:7" ht="13.5">
      <c r="A106" s="45" t="s">
        <v>26</v>
      </c>
      <c r="B106" s="519" t="s">
        <v>406</v>
      </c>
      <c r="C106" s="485"/>
      <c r="D106" s="485"/>
      <c r="E106" s="485"/>
      <c r="F106" s="485"/>
      <c r="G106" s="486"/>
    </row>
    <row r="107" spans="2:7" ht="13.5">
      <c r="B107" s="531" t="s">
        <v>446</v>
      </c>
      <c r="C107" s="433" t="s">
        <v>53</v>
      </c>
      <c r="D107" s="433" t="s">
        <v>54</v>
      </c>
      <c r="E107" s="433" t="s">
        <v>447</v>
      </c>
      <c r="F107" s="433" t="s">
        <v>291</v>
      </c>
      <c r="G107" s="488" t="s">
        <v>448</v>
      </c>
    </row>
    <row r="108" spans="2:7" ht="13.5">
      <c r="B108" s="532" t="s">
        <v>338</v>
      </c>
      <c r="C108" s="450">
        <f>C88*C89-1</f>
        <v>29</v>
      </c>
      <c r="D108" s="453">
        <f>D109+D110+D111</f>
        <v>14608</v>
      </c>
      <c r="E108" s="58"/>
      <c r="F108" s="58"/>
      <c r="G108" s="490"/>
    </row>
    <row r="109" spans="2:7" s="45" customFormat="1" ht="13.5">
      <c r="B109" s="533" t="s">
        <v>407</v>
      </c>
      <c r="C109" s="451">
        <f>C88-1</f>
        <v>2</v>
      </c>
      <c r="D109" s="452">
        <f>C100/C91-F97^2/C93</f>
        <v>2608</v>
      </c>
      <c r="E109" s="454">
        <f>D109/C109</f>
        <v>1304</v>
      </c>
      <c r="F109" s="58">
        <f>E109/E111</f>
        <v>2.3472</v>
      </c>
      <c r="G109" s="490">
        <f>FINV(0.05,C109,C111)</f>
        <v>3.5545571457137326</v>
      </c>
    </row>
    <row r="110" spans="2:7" s="45" customFormat="1" ht="13.5">
      <c r="B110" s="533" t="s">
        <v>71</v>
      </c>
      <c r="C110" s="451">
        <f>C89-1</f>
        <v>9</v>
      </c>
      <c r="D110" s="452">
        <v>2000</v>
      </c>
      <c r="E110" s="454">
        <f>D110/C110</f>
        <v>222.22222222222223</v>
      </c>
      <c r="G110" s="490"/>
    </row>
    <row r="111" spans="2:7" s="45" customFormat="1" ht="13.5">
      <c r="B111" s="533" t="s">
        <v>408</v>
      </c>
      <c r="C111" s="451">
        <f>C109*C110</f>
        <v>18</v>
      </c>
      <c r="D111" s="452">
        <v>10000</v>
      </c>
      <c r="E111" s="454">
        <f>D111/C111</f>
        <v>555.5555555555555</v>
      </c>
      <c r="G111" s="490"/>
    </row>
    <row r="112" spans="2:7" ht="13.5">
      <c r="B112" s="532" t="s">
        <v>449</v>
      </c>
      <c r="C112" s="450">
        <f>C88*C89*(C90-1)</f>
        <v>570</v>
      </c>
      <c r="D112" s="453">
        <f>E112*C112</f>
        <v>28500</v>
      </c>
      <c r="E112" s="455">
        <v>50</v>
      </c>
      <c r="F112" s="58"/>
      <c r="G112" s="490"/>
    </row>
    <row r="113" spans="2:7" s="49" customFormat="1" ht="15" thickBot="1">
      <c r="B113" s="534" t="s">
        <v>171</v>
      </c>
      <c r="C113" s="535">
        <f>C108+C112</f>
        <v>599</v>
      </c>
      <c r="D113" s="535">
        <f>D108+D112</f>
        <v>43108</v>
      </c>
      <c r="E113" s="536"/>
      <c r="F113" s="537"/>
      <c r="G113" s="494"/>
    </row>
    <row r="114" spans="2:7" ht="13.5">
      <c r="B114" s="58"/>
      <c r="C114" s="58"/>
      <c r="D114" s="58"/>
      <c r="E114" s="58"/>
      <c r="F114" s="58"/>
      <c r="G114" s="58"/>
    </row>
    <row r="115" spans="2:7" ht="15" thickBot="1">
      <c r="B115" s="58"/>
      <c r="C115" s="58"/>
      <c r="D115" s="58"/>
      <c r="E115" s="58"/>
      <c r="F115" s="58"/>
      <c r="G115" s="58"/>
    </row>
    <row r="116" spans="3:7" ht="15.75">
      <c r="C116" s="538" t="s">
        <v>413</v>
      </c>
      <c r="D116" s="496" t="s">
        <v>414</v>
      </c>
      <c r="E116" s="496" t="s">
        <v>53</v>
      </c>
      <c r="F116" s="496" t="s">
        <v>416</v>
      </c>
      <c r="G116" s="498" t="s">
        <v>415</v>
      </c>
    </row>
    <row r="117" spans="3:7" ht="15" thickBot="1">
      <c r="C117" s="566">
        <f>E111</f>
        <v>555.5555555555555</v>
      </c>
      <c r="D117" s="511">
        <f>SQRT(C117/C91)</f>
        <v>1.6666666666666667</v>
      </c>
      <c r="E117" s="539">
        <f>C111</f>
        <v>18</v>
      </c>
      <c r="F117" s="511">
        <f>TINV(0.05,E117)</f>
        <v>2.1009220368611805</v>
      </c>
      <c r="G117" s="502">
        <f>F117*D117</f>
        <v>3.501536728101968</v>
      </c>
    </row>
    <row r="118" spans="2:7" ht="15" thickBot="1">
      <c r="B118" s="58"/>
      <c r="C118" s="58"/>
      <c r="D118" s="58"/>
      <c r="E118" s="58"/>
      <c r="F118" s="58"/>
      <c r="G118" s="58"/>
    </row>
    <row r="119" spans="1:7" ht="13.5">
      <c r="A119" s="45" t="s">
        <v>370</v>
      </c>
      <c r="B119" s="519" t="s">
        <v>409</v>
      </c>
      <c r="C119" s="485"/>
      <c r="D119" s="485"/>
      <c r="E119" s="485"/>
      <c r="F119" s="485"/>
      <c r="G119" s="540"/>
    </row>
    <row r="120" spans="2:7" ht="13.5">
      <c r="B120" s="531" t="str">
        <f aca="true" t="shared" si="0" ref="B120:G120">B107</f>
        <v>Source</v>
      </c>
      <c r="C120" s="433" t="str">
        <f t="shared" si="0"/>
        <v>df</v>
      </c>
      <c r="D120" s="433" t="str">
        <f t="shared" si="0"/>
        <v>SS</v>
      </c>
      <c r="E120" s="433" t="str">
        <f t="shared" si="0"/>
        <v>MS</v>
      </c>
      <c r="F120" s="433" t="str">
        <f t="shared" si="0"/>
        <v>Obt F</v>
      </c>
      <c r="G120" s="488" t="str">
        <f t="shared" si="0"/>
        <v>Crit F</v>
      </c>
    </row>
    <row r="121" spans="2:7" ht="13.5">
      <c r="B121" s="532" t="str">
        <f aca="true" t="shared" si="1" ref="B121:D122">B108</f>
        <v>Between</v>
      </c>
      <c r="C121" s="450">
        <f t="shared" si="1"/>
        <v>29</v>
      </c>
      <c r="D121" s="453">
        <f t="shared" si="1"/>
        <v>14608</v>
      </c>
      <c r="E121" s="58"/>
      <c r="F121" s="58"/>
      <c r="G121" s="490"/>
    </row>
    <row r="122" spans="2:7" ht="13.5">
      <c r="B122" s="533" t="str">
        <f t="shared" si="1"/>
        <v>Cols</v>
      </c>
      <c r="C122" s="451">
        <f t="shared" si="1"/>
        <v>2</v>
      </c>
      <c r="D122" s="452">
        <f t="shared" si="1"/>
        <v>2608</v>
      </c>
      <c r="E122" s="454">
        <f>D122/C122</f>
        <v>1304</v>
      </c>
      <c r="F122" s="58">
        <f>E122/$E$125</f>
        <v>26.08</v>
      </c>
      <c r="G122" s="490">
        <f>FINV(0.05,C122,$C$125)</f>
        <v>3.0115321666282</v>
      </c>
    </row>
    <row r="123" spans="2:7" ht="13.5">
      <c r="B123" s="533" t="str">
        <f>B110</f>
        <v>Rows</v>
      </c>
      <c r="C123" s="451">
        <f>C110</f>
        <v>9</v>
      </c>
      <c r="D123" s="452">
        <f>D110</f>
        <v>2000</v>
      </c>
      <c r="E123" s="454">
        <f>D123/C123</f>
        <v>222.22222222222223</v>
      </c>
      <c r="F123" s="58">
        <f>E123/$E$125</f>
        <v>4.444444444444445</v>
      </c>
      <c r="G123" s="490">
        <f>FINV(0.05,C123,$C$125)</f>
        <v>1.8962946488218155</v>
      </c>
    </row>
    <row r="124" spans="2:7" ht="13.5">
      <c r="B124" s="533" t="str">
        <f>B111</f>
        <v>RxC</v>
      </c>
      <c r="C124" s="451">
        <f>C111</f>
        <v>18</v>
      </c>
      <c r="D124" s="452">
        <f>D111</f>
        <v>10000</v>
      </c>
      <c r="E124" s="454">
        <f>D124/C124</f>
        <v>555.5555555555555</v>
      </c>
      <c r="F124" s="58">
        <f>E124/$E$125</f>
        <v>11.11111111111111</v>
      </c>
      <c r="G124" s="490">
        <f>FINV(0.05,C124,$C$125)</f>
        <v>1.6219787149283098</v>
      </c>
    </row>
    <row r="125" spans="2:7" ht="13.5">
      <c r="B125" s="532" t="str">
        <f>B112</f>
        <v>Within</v>
      </c>
      <c r="C125" s="450">
        <f>C112</f>
        <v>570</v>
      </c>
      <c r="D125" s="453">
        <f>D112</f>
        <v>28500</v>
      </c>
      <c r="E125" s="455">
        <v>50</v>
      </c>
      <c r="F125" s="58"/>
      <c r="G125" s="490"/>
    </row>
    <row r="126" spans="2:7" s="49" customFormat="1" ht="15" thickBot="1">
      <c r="B126" s="534" t="s">
        <v>171</v>
      </c>
      <c r="C126" s="541">
        <f>C121+C125</f>
        <v>599</v>
      </c>
      <c r="D126" s="537"/>
      <c r="E126" s="537"/>
      <c r="F126" s="537"/>
      <c r="G126" s="494"/>
    </row>
    <row r="127" ht="15" thickBot="1"/>
    <row r="128" spans="3:7" ht="15.75">
      <c r="C128" s="538" t="s">
        <v>413</v>
      </c>
      <c r="D128" s="496" t="s">
        <v>414</v>
      </c>
      <c r="E128" s="496" t="s">
        <v>53</v>
      </c>
      <c r="F128" s="496" t="s">
        <v>416</v>
      </c>
      <c r="G128" s="498" t="s">
        <v>415</v>
      </c>
    </row>
    <row r="129" spans="3:7" ht="15" thickBot="1">
      <c r="C129" s="499">
        <f>E125</f>
        <v>50</v>
      </c>
      <c r="D129" s="511">
        <f>SQRT(C129/C90)</f>
        <v>1.5811388300841898</v>
      </c>
      <c r="E129" s="539">
        <f>C112</f>
        <v>570</v>
      </c>
      <c r="F129" s="511">
        <f>TINV(0.05,E129)</f>
        <v>1.9641344769637277</v>
      </c>
      <c r="G129" s="502">
        <f>F129*D129</f>
        <v>3.10556928903445</v>
      </c>
    </row>
    <row r="132" spans="1:3" ht="13.5">
      <c r="A132" s="48" t="s">
        <v>371</v>
      </c>
      <c r="B132" s="45" t="s">
        <v>372</v>
      </c>
      <c r="C132" s="463">
        <v>0.7</v>
      </c>
    </row>
    <row r="133" spans="2:3" ht="15">
      <c r="B133" s="45" t="s">
        <v>373</v>
      </c>
      <c r="C133" s="463">
        <f>C132^2</f>
        <v>0.48999999999999994</v>
      </c>
    </row>
    <row r="134" spans="2:3" ht="13.5">
      <c r="B134" s="45" t="s">
        <v>374</v>
      </c>
      <c r="C134" s="463">
        <v>0.6</v>
      </c>
    </row>
    <row r="135" spans="2:4" ht="13.5">
      <c r="B135" s="45" t="s">
        <v>375</v>
      </c>
      <c r="C135" s="463">
        <v>0</v>
      </c>
      <c r="D135" s="43" t="s">
        <v>51</v>
      </c>
    </row>
    <row r="136" spans="2:3" ht="13.5">
      <c r="B136" s="45"/>
      <c r="C136" s="463"/>
    </row>
    <row r="137" spans="1:3" ht="13.5">
      <c r="A137" s="45" t="s">
        <v>376</v>
      </c>
      <c r="B137" s="163" t="s">
        <v>377</v>
      </c>
      <c r="C137" s="463">
        <v>2.2</v>
      </c>
    </row>
    <row r="138" spans="2:3" ht="13.5">
      <c r="B138" s="163" t="s">
        <v>378</v>
      </c>
      <c r="C138" s="463">
        <f>C137^2</f>
        <v>4.840000000000001</v>
      </c>
    </row>
    <row r="139" spans="2:3" ht="15" thickBot="1">
      <c r="B139" s="163" t="s">
        <v>379</v>
      </c>
      <c r="C139" s="463">
        <f>C138*C133</f>
        <v>2.3716</v>
      </c>
    </row>
    <row r="140" spans="2:3" ht="15" thickBot="1">
      <c r="B140" s="542" t="s">
        <v>380</v>
      </c>
      <c r="C140" s="543">
        <f>SQRT(C139)</f>
        <v>1.54</v>
      </c>
    </row>
    <row r="141" spans="2:3" ht="13.5">
      <c r="B141" s="45"/>
      <c r="C141" s="463"/>
    </row>
    <row r="142" spans="1:3" ht="15.75">
      <c r="A142" s="45" t="s">
        <v>26</v>
      </c>
      <c r="B142" s="439" t="s">
        <v>383</v>
      </c>
      <c r="C142" s="49">
        <v>50</v>
      </c>
    </row>
    <row r="143" spans="2:3" ht="13.5">
      <c r="B143" s="163" t="s">
        <v>377</v>
      </c>
      <c r="C143" s="463">
        <v>2.2</v>
      </c>
    </row>
    <row r="144" spans="2:3" ht="15.75">
      <c r="B144" s="45" t="s">
        <v>381</v>
      </c>
      <c r="C144" s="49">
        <v>1.5</v>
      </c>
    </row>
    <row r="145" spans="2:3" ht="16.5" thickBot="1">
      <c r="B145" s="45" t="s">
        <v>382</v>
      </c>
      <c r="C145" s="49">
        <f>C144*C132</f>
        <v>1.0499999999999998</v>
      </c>
    </row>
    <row r="146" spans="2:3" ht="15" thickBot="1">
      <c r="B146" s="544" t="s">
        <v>384</v>
      </c>
      <c r="C146" s="545">
        <f>C142+C145*C143</f>
        <v>52.31</v>
      </c>
    </row>
    <row r="147" ht="15" thickBot="1"/>
    <row r="148" spans="1:3" ht="13.5">
      <c r="A148" s="45" t="s">
        <v>233</v>
      </c>
      <c r="B148" s="546" t="s">
        <v>372</v>
      </c>
      <c r="C148" s="547">
        <v>0.7</v>
      </c>
    </row>
    <row r="149" spans="2:3" ht="13.5">
      <c r="B149" s="533" t="s">
        <v>374</v>
      </c>
      <c r="C149" s="548">
        <f>C134/12</f>
        <v>0.049999999999999996</v>
      </c>
    </row>
    <row r="150" spans="2:3" ht="15" thickBot="1">
      <c r="B150" s="549" t="s">
        <v>385</v>
      </c>
      <c r="C150" s="494">
        <f>C135/12</f>
        <v>0</v>
      </c>
    </row>
  </sheetData>
  <mergeCells count="4">
    <mergeCell ref="B51:B52"/>
    <mergeCell ref="B53:B54"/>
    <mergeCell ref="F51:F52"/>
    <mergeCell ref="F53:F54"/>
  </mergeCells>
  <printOptions/>
  <pageMargins left="0.75" right="0.75" top="1" bottom="1" header="0.5" footer="0.5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Washingtobn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Geoffrey Loftus</dc:creator>
  <cp:keywords/>
  <dc:description/>
  <cp:lastModifiedBy>Geoffrey Loftus</cp:lastModifiedBy>
  <cp:lastPrinted>2009-01-30T19:24:06Z</cp:lastPrinted>
  <dcterms:created xsi:type="dcterms:W3CDTF">2005-01-11T19:08:43Z</dcterms:created>
  <dcterms:modified xsi:type="dcterms:W3CDTF">2010-06-07T18:26:47Z</dcterms:modified>
  <cp:category/>
  <cp:version/>
  <cp:contentType/>
  <cp:contentStatus/>
</cp:coreProperties>
</file>